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10" windowWidth="28515" windowHeight="12210" tabRatio="864" firstSheet="10" activeTab="17"/>
  </bookViews>
  <sheets>
    <sheet name="IMPRESOS Y BIENESTAR SOCIAL" sheetId="8" r:id="rId1"/>
    <sheet name="EQU. COMPUTACION" sheetId="4" r:id="rId2"/>
    <sheet name="MUEBLES Y ENSERES" sheetId="7" r:id="rId3"/>
    <sheet name="EQU. COMUNICACION" sheetId="5" r:id="rId4"/>
    <sheet name="EQ. OFICINA" sheetId="6" r:id="rId5"/>
    <sheet name="SISTEMAS DE SEGURIDAD" sheetId="10" r:id="rId6"/>
    <sheet name="MATERIALES ELECTRICO" sheetId="9" r:id="rId7"/>
    <sheet name="COMBUSTIBLES" sheetId="11" r:id="rId8"/>
    <sheet name="PAPELERIA GENERAL" sheetId="12" r:id="rId9"/>
    <sheet name="TINTAS TONER Y RECARGAS" sheetId="13" r:id="rId10"/>
    <sheet name="ELEMENTOS DE ASEO" sheetId="14" r:id="rId11"/>
    <sheet name="DOTACION ADMINISTRATIVA" sheetId="15" r:id="rId12"/>
    <sheet name="HERRAMIENTAS Y ACCESORIOS" sheetId="16" r:id="rId13"/>
    <sheet name="MANTENIMIENTO EN GENERAL" sheetId="17" r:id="rId14"/>
    <sheet name="REPUESTOS VARIOS" sheetId="18" r:id="rId15"/>
    <sheet name="ADQUISICION DE SERVICIOS" sheetId="24" r:id="rId16"/>
    <sheet name="VEHICULOS" sheetId="19" r:id="rId17"/>
    <sheet name="OTROS MANTENIMIENTOS" sheetId="20" r:id="rId18"/>
    <sheet name="CELADURIA Y ASEO" sheetId="21" r:id="rId19"/>
    <sheet name="SERVICIOS, VIATICOS E IMPRESOS" sheetId="25" r:id="rId20"/>
    <sheet name="BIENESTAR UNIVERSITARIO" sheetId="22" r:id="rId21"/>
    <sheet name="INVERSION" sheetId="23" r:id="rId22"/>
  </sheets>
  <calcPr calcId="144525"/>
</workbook>
</file>

<file path=xl/calcChain.xml><?xml version="1.0" encoding="utf-8"?>
<calcChain xmlns="http://schemas.openxmlformats.org/spreadsheetml/2006/main">
  <c r="G5" i="18" l="1"/>
  <c r="G5" i="17"/>
  <c r="G5" i="16"/>
  <c r="F31" i="14" l="1"/>
  <c r="F22" i="13"/>
  <c r="F61" i="12"/>
  <c r="F11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5" i="9"/>
  <c r="G116" i="9"/>
  <c r="G117" i="9"/>
  <c r="G4" i="9"/>
  <c r="F13" i="10"/>
  <c r="F14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118" i="9" l="1"/>
  <c r="G5" i="6"/>
  <c r="G4" i="6"/>
  <c r="G4" i="5"/>
  <c r="G4" i="7"/>
  <c r="G5" i="7"/>
  <c r="G19" i="23" l="1"/>
  <c r="G18" i="23"/>
  <c r="G20" i="23" s="1"/>
  <c r="G11" i="23"/>
  <c r="F11" i="23"/>
  <c r="G4" i="23"/>
  <c r="F4" i="23"/>
  <c r="G24" i="22" l="1"/>
  <c r="F24" i="22"/>
  <c r="G17" i="22" l="1"/>
  <c r="F17" i="22"/>
  <c r="G11" i="22"/>
  <c r="F11" i="22"/>
  <c r="G4" i="22"/>
  <c r="F4" i="22"/>
  <c r="G18" i="20" l="1"/>
  <c r="G6" i="20"/>
  <c r="F4" i="15"/>
  <c r="G4" i="15" s="1"/>
  <c r="G5" i="15" s="1"/>
  <c r="G4" i="13"/>
  <c r="G5" i="13"/>
  <c r="G13" i="13" l="1"/>
  <c r="G6" i="13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2" i="12"/>
  <c r="G63" i="12"/>
  <c r="G64" i="12"/>
  <c r="G65" i="12"/>
  <c r="G66" i="12"/>
  <c r="G67" i="12"/>
  <c r="G68" i="12"/>
  <c r="G69" i="12"/>
  <c r="G70" i="12"/>
  <c r="G71" i="12"/>
  <c r="G4" i="12"/>
  <c r="G4" i="11"/>
  <c r="G72" i="12" l="1"/>
  <c r="F5" i="21"/>
  <c r="F4" i="21"/>
  <c r="F41" i="25" l="1"/>
  <c r="F35" i="25"/>
  <c r="G35" i="25" s="1"/>
  <c r="F29" i="25"/>
  <c r="G29" i="25" s="1"/>
  <c r="F23" i="25"/>
  <c r="G23" i="25" s="1"/>
  <c r="F16" i="25"/>
  <c r="F10" i="25"/>
  <c r="G10" i="25" s="1"/>
  <c r="F4" i="25"/>
  <c r="G4" i="25" s="1"/>
  <c r="G41" i="25"/>
  <c r="G16" i="25"/>
  <c r="G5" i="21"/>
  <c r="G4" i="21"/>
  <c r="G6" i="21" s="1"/>
  <c r="G17" i="20"/>
  <c r="G16" i="20"/>
  <c r="G15" i="20"/>
  <c r="G14" i="20"/>
  <c r="G13" i="20"/>
  <c r="G7" i="20"/>
  <c r="G12" i="20"/>
  <c r="G11" i="20"/>
  <c r="G5" i="20"/>
  <c r="G10" i="20"/>
  <c r="G9" i="20"/>
  <c r="G8" i="20"/>
  <c r="G4" i="20"/>
  <c r="F4" i="19"/>
  <c r="G4" i="19"/>
  <c r="F37" i="24"/>
  <c r="G37" i="24" s="1"/>
  <c r="F30" i="24"/>
  <c r="G30" i="24" s="1"/>
  <c r="F17" i="24"/>
  <c r="G17" i="24" s="1"/>
  <c r="F11" i="24"/>
  <c r="G11" i="24" s="1"/>
  <c r="F4" i="24"/>
  <c r="G4" i="24" s="1"/>
  <c r="G24" i="24"/>
  <c r="G23" i="24"/>
  <c r="G4" i="18"/>
  <c r="G4" i="16"/>
  <c r="G50" i="14"/>
  <c r="G49" i="14"/>
  <c r="G48" i="14"/>
  <c r="F47" i="14"/>
  <c r="G47" i="14" s="1"/>
  <c r="F46" i="14"/>
  <c r="G46" i="14" s="1"/>
  <c r="F45" i="14"/>
  <c r="G45" i="14" s="1"/>
  <c r="F44" i="14"/>
  <c r="G44" i="14" s="1"/>
  <c r="F43" i="14"/>
  <c r="G43" i="14" s="1"/>
  <c r="F42" i="14"/>
  <c r="G42" i="14" s="1"/>
  <c r="G41" i="14"/>
  <c r="F40" i="14"/>
  <c r="G40" i="14" s="1"/>
  <c r="F39" i="14"/>
  <c r="G39" i="14" s="1"/>
  <c r="G38" i="14"/>
  <c r="G37" i="14"/>
  <c r="G36" i="14"/>
  <c r="G35" i="14"/>
  <c r="G34" i="14"/>
  <c r="F33" i="14"/>
  <c r="G33" i="14" s="1"/>
  <c r="G32" i="14"/>
  <c r="G30" i="14"/>
  <c r="F29" i="14"/>
  <c r="G29" i="14" s="1"/>
  <c r="G28" i="14"/>
  <c r="G27" i="14"/>
  <c r="G26" i="14"/>
  <c r="G25" i="14"/>
  <c r="G24" i="14"/>
  <c r="G23" i="14"/>
  <c r="F22" i="14"/>
  <c r="G22" i="14" s="1"/>
  <c r="F21" i="14"/>
  <c r="G21" i="14" s="1"/>
  <c r="F20" i="14"/>
  <c r="G20" i="14" s="1"/>
  <c r="F19" i="14"/>
  <c r="G19" i="14" s="1"/>
  <c r="F18" i="14"/>
  <c r="G18" i="14" s="1"/>
  <c r="F17" i="14"/>
  <c r="G17" i="14" s="1"/>
  <c r="F16" i="14"/>
  <c r="G16" i="14" s="1"/>
  <c r="F15" i="14"/>
  <c r="G15" i="14" s="1"/>
  <c r="F14" i="14"/>
  <c r="G14" i="14" s="1"/>
  <c r="F13" i="14"/>
  <c r="G13" i="14" s="1"/>
  <c r="F12" i="14"/>
  <c r="G12" i="14" s="1"/>
  <c r="F11" i="14"/>
  <c r="G11" i="14" s="1"/>
  <c r="F10" i="14"/>
  <c r="G10" i="14" s="1"/>
  <c r="F9" i="14"/>
  <c r="G9" i="14" s="1"/>
  <c r="F8" i="14"/>
  <c r="G8" i="14" s="1"/>
  <c r="F7" i="14"/>
  <c r="G7" i="14" s="1"/>
  <c r="F6" i="14"/>
  <c r="G6" i="14" s="1"/>
  <c r="F5" i="14"/>
  <c r="G5" i="14" s="1"/>
  <c r="F4" i="14"/>
  <c r="G4" i="14" s="1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8" i="13"/>
  <c r="G11" i="13"/>
  <c r="G12" i="13"/>
  <c r="G10" i="13"/>
  <c r="G7" i="13"/>
  <c r="G9" i="13"/>
  <c r="G14" i="13"/>
  <c r="G24" i="13"/>
  <c r="G23" i="13"/>
  <c r="G21" i="13"/>
  <c r="G20" i="13"/>
  <c r="G19" i="13"/>
  <c r="G18" i="13"/>
  <c r="G17" i="13"/>
  <c r="G16" i="13"/>
  <c r="G15" i="13"/>
  <c r="G5" i="11"/>
  <c r="F117" i="9"/>
  <c r="F116" i="9"/>
  <c r="F115" i="9"/>
  <c r="F113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4" i="9"/>
  <c r="F52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G51" i="14" l="1"/>
  <c r="G80" i="13"/>
  <c r="F20" i="10"/>
  <c r="F19" i="10"/>
  <c r="F18" i="10"/>
  <c r="F17" i="10"/>
  <c r="F16" i="10"/>
  <c r="F15" i="10"/>
  <c r="F12" i="10"/>
  <c r="G12" i="10" s="1"/>
  <c r="F11" i="10"/>
  <c r="G11" i="10" s="1"/>
  <c r="F10" i="10"/>
  <c r="G10" i="10" s="1"/>
  <c r="F9" i="10"/>
  <c r="G9" i="10" s="1"/>
  <c r="F8" i="10"/>
  <c r="G8" i="10" s="1"/>
  <c r="F7" i="10"/>
  <c r="G7" i="10" s="1"/>
  <c r="F6" i="10"/>
  <c r="G6" i="10" s="1"/>
  <c r="F5" i="10"/>
  <c r="G5" i="10" s="1"/>
  <c r="F4" i="10"/>
  <c r="G4" i="10" s="1"/>
  <c r="G31" i="10" l="1"/>
  <c r="G13" i="8"/>
  <c r="G5" i="8"/>
</calcChain>
</file>

<file path=xl/comments1.xml><?xml version="1.0" encoding="utf-8"?>
<comments xmlns="http://schemas.openxmlformats.org/spreadsheetml/2006/main">
  <authors>
    <author>Maria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Maria:</t>
        </r>
        <r>
          <rPr>
            <sz val="9"/>
            <color indexed="81"/>
            <rFont val="Tahoma"/>
            <family val="2"/>
          </rPr>
          <t xml:space="preserve">
ESTA REF. ES DE SEXTA GENERACION, SE REQUIERE DE SEA DE SEPTIMA U OCTAVA
</t>
        </r>
      </text>
    </comment>
  </commentList>
</comments>
</file>

<file path=xl/sharedStrings.xml><?xml version="1.0" encoding="utf-8"?>
<sst xmlns="http://schemas.openxmlformats.org/spreadsheetml/2006/main" count="3196" uniqueCount="575">
  <si>
    <t xml:space="preserve">ITEM </t>
  </si>
  <si>
    <t>DESCRIPCION DE LOS EQUIPOS</t>
  </si>
  <si>
    <t xml:space="preserve">DEPENDENCIA QUE SOLICITA </t>
  </si>
  <si>
    <t>UNIDAD</t>
  </si>
  <si>
    <t>CANTIDAD</t>
  </si>
  <si>
    <t>VOLOR UNITA.</t>
  </si>
  <si>
    <t>ACTIVIDAD</t>
  </si>
  <si>
    <t>UD</t>
  </si>
  <si>
    <t>VALOR UNITARIO</t>
  </si>
  <si>
    <t>CARACTERISTICAS TECNICAS</t>
  </si>
  <si>
    <t xml:space="preserve"> </t>
  </si>
  <si>
    <t>DEPENDENCIAS ACADEMICO ADMINISTRATIVAS</t>
  </si>
  <si>
    <t>DEPENDENCIAS VARIAS</t>
  </si>
  <si>
    <t>UN</t>
  </si>
  <si>
    <t>VALOR ESTIMIDO PARA 2019</t>
  </si>
  <si>
    <t>RUBRO: 2011190 - EQUIPO DE PROCESAMIENTO DE DATOS</t>
  </si>
  <si>
    <t>ACTIVIDADES ACADEMICO ADMINISTRATIVAS</t>
  </si>
  <si>
    <t>VIDEO BEAM POWER LITE X36 TECNOLOGIA 3LCD</t>
  </si>
  <si>
    <t>RUBRO: 2011490 - EQUIPO DE OFICINA</t>
  </si>
  <si>
    <t>ESCANER DE ALTO RENDIMIENTO (Escáner Plano Scanjet Enterprise Flow 7500 L2725b)</t>
  </si>
  <si>
    <t>AIRE ACONDICIONADO 36,000 BTU</t>
  </si>
  <si>
    <t>RUBRO: 2011290 - MUEBLES Y ENSERES</t>
  </si>
  <si>
    <t>SILLA ERGONOMICAS</t>
  </si>
  <si>
    <t>TECHO PRESUPUESTAL:</t>
  </si>
  <si>
    <t>DESCRIPCION</t>
  </si>
  <si>
    <t>CANTI.</t>
  </si>
  <si>
    <t>VALOR ESTIMIDO PARA 2018</t>
  </si>
  <si>
    <t>DURACION ESTIMADA DEL CONTRATO</t>
  </si>
  <si>
    <t>FUENTE DE LOS RECURSOS</t>
  </si>
  <si>
    <t>IMPRESOS Y SUSCRIPCIONES ADMINISTRATIVAS</t>
  </si>
  <si>
    <t>SECRETARIA GENERAL, VIVERRECTORIAS Y RECTORIA , DECANATURAS, PROGRAMAS Y OFICINAS</t>
  </si>
  <si>
    <t>10 MESES</t>
  </si>
  <si>
    <t>PROPIOS</t>
  </si>
  <si>
    <t>FUNCIONAMIENTO, SECRETARIA GENERAL, VIVERRECTORIAS Y RECTORIA , DECANATURAS, PROGRAMAS Y OFICINAS</t>
  </si>
  <si>
    <t>TOTAL</t>
  </si>
  <si>
    <t>BIENESTAR SOCIAL - GASTOS VARIOS ADMINISTRATIVOS</t>
  </si>
  <si>
    <t>VICERRECTORIA ADMINISTRATIVA</t>
  </si>
  <si>
    <t>12 MESES</t>
  </si>
  <si>
    <t xml:space="preserve">FUCIONAMIENTO VICERRECTORIA ADIMINSTRATIVA, NEGOCIACIONES SINDICALES </t>
  </si>
  <si>
    <t xml:space="preserve">TECHO PRESUPUESTAL </t>
  </si>
  <si>
    <t>RUBRO: 201490 - IMPRESOS SUSCRIPCIONES ADMINISTRATIVAS</t>
  </si>
  <si>
    <t>RUBRO: 201590 - BIENESTAR SOCIAL, GASTOS VARIOS ADMINISTRATIVA.</t>
  </si>
  <si>
    <t>ITEM</t>
  </si>
  <si>
    <t>DETALLE</t>
  </si>
  <si>
    <t>DEPENDENCIA QUE SOLICITA</t>
  </si>
  <si>
    <t>UNID.</t>
  </si>
  <si>
    <t>VALOT TOTAL</t>
  </si>
  <si>
    <t>MODALIDAD DE SELECCIÓN</t>
  </si>
  <si>
    <t>FUENTES DE LOS ECURSOS</t>
  </si>
  <si>
    <t>PLANEACIÓN Y VICERRECTORIA ADMINISTRATIVA, VICERRECTORIA DE INVETIGACIÓN Y ACADEMICA</t>
  </si>
  <si>
    <t>FUNCIONAMIENTO GRANJA EXPERIMENTAL</t>
  </si>
  <si>
    <t>COMPRAS DE INSUMOS, REPUESTOS  MAQUINARIA AGRICOLA, LUBRICANTES Y COMBUSIBLE</t>
  </si>
  <si>
    <t>FACUTAD DE INGENIERIA AGRICOLA COORDINACION GRANJA</t>
  </si>
  <si>
    <t xml:space="preserve">CAJA MENOR </t>
  </si>
  <si>
    <t xml:space="preserve">TECHO PRESUPUESAL: </t>
  </si>
  <si>
    <t>VOLOR UNITA. INCLUIDO IVA</t>
  </si>
  <si>
    <t>VALOR ESTIMADO DE LA VIGENCIA ACTUAL</t>
  </si>
  <si>
    <t>VICERRECTORIA ADMINISTRATIVA VICERRECTORIA ACADEMECA, RECTORIA , VICERRECTORIA DE INVESTIGACIONES</t>
  </si>
  <si>
    <t>VICERRECTORIA ADMINISTRATIVA - BIENESTAR UNIVERSITARIO</t>
  </si>
  <si>
    <t>VICERRECTORIA ADMINISTRATIVA -DIVISIOIN DE RECURSOS Y SERVICIOS GENERALES</t>
  </si>
  <si>
    <t>ADQUISICION DE LEMENTOS DE PROCTECCION PERSONAL Y OTROS</t>
  </si>
  <si>
    <t xml:space="preserve">VICERRECTORIA ADMINISTRATIVA -DIVISIÓN DE BIENESTAR UNIVESITARIO </t>
  </si>
  <si>
    <t>Copias de llaves para chapas y candados</t>
  </si>
  <si>
    <t>SERVICIOS GENERALES</t>
  </si>
  <si>
    <t>ELEMENTOS Y MTERIALES DE BUENA CALIDAD Y MARCAS RECONOCIDAS</t>
  </si>
  <si>
    <t>Cerradura 170 ¼ bancaria, 1610 de cadena, 987 de pasador redondo, 396 chapa candado, 370 L-R, pico loro.</t>
  </si>
  <si>
    <t>Cerradura  de perilla.</t>
  </si>
  <si>
    <t>Cerraduras perforadas y cambios de cilindros toda referencia.</t>
  </si>
  <si>
    <t xml:space="preserve">Candados  y corbin grandes  pequeños  </t>
  </si>
  <si>
    <t>Candados  y corbin pequeños</t>
  </si>
  <si>
    <t>Chapas para escritorio o archivador.</t>
  </si>
  <si>
    <t>Para chapas tubulares de archivadores, gavetas y escritorios.</t>
  </si>
  <si>
    <t>Chapas varias de escritorio, archivadores, ordenadores y bibliotecas.</t>
  </si>
  <si>
    <t>Cerraduras tipo bancarias.</t>
  </si>
  <si>
    <t>Cerraduras  de pasador redondo 396 chapa candado.</t>
  </si>
  <si>
    <t>Cerradura  de pasador redondo.</t>
  </si>
  <si>
    <t xml:space="preserve"> Cerradura 864 de pasador cuadrado.</t>
  </si>
  <si>
    <t>Cerraduras sisa y pico loro.</t>
  </si>
  <si>
    <t>Cerradura  pico loro.</t>
  </si>
  <si>
    <t>Cerradura  llave botón pomo de madera.</t>
  </si>
  <si>
    <t>Llave botón pomo metálico.</t>
  </si>
  <si>
    <t>Cerradura  doble llave pomo madera.</t>
  </si>
  <si>
    <t>Cerradura  doble llave pomo metálico.</t>
  </si>
  <si>
    <t>Cerradura  2044, 2045  para escritorio y gavetas</t>
  </si>
  <si>
    <t>Cerradura  pomo madera y aluminio con llave.</t>
  </si>
  <si>
    <t>Cerradura para escritorio</t>
  </si>
  <si>
    <t>Cerradura de ombligo para archivador de madera</t>
  </si>
  <si>
    <t>Cerradura  de resbalón para cantonera eléctrica</t>
  </si>
  <si>
    <t>Arreglo de seguros y mantenimientos de rieles de archivadores</t>
  </si>
  <si>
    <t>Arreglo de puertas de madera caídas(Cambio de Bisagras)</t>
  </si>
  <si>
    <t>Mantenimiento de brazo hidráulico  Ref. 005</t>
  </si>
  <si>
    <t xml:space="preserve">TECHO PRESUPUESTAL: </t>
  </si>
  <si>
    <t>DESCRIPCIÓN</t>
  </si>
  <si>
    <t>DURACION DEL CONTRATO</t>
  </si>
  <si>
    <t>MODO DE CONTRATACIÓN</t>
  </si>
  <si>
    <t xml:space="preserve">Accesorio Sanitarios grifería </t>
  </si>
  <si>
    <t>8 MESES</t>
  </si>
  <si>
    <t>SELECCIOIN DERECTA</t>
  </si>
  <si>
    <t>PRODUCTOS DE CALIDAD</t>
  </si>
  <si>
    <t>Alicates para trabajo eléctrico</t>
  </si>
  <si>
    <t>ELEMENTOS Y MATERIAL DE DE CALIDAD</t>
  </si>
  <si>
    <t>Arrancador de Sodio de 100/400 w</t>
  </si>
  <si>
    <t>Arrancador de Sodio de 70 w</t>
  </si>
  <si>
    <t>Atornillador inalámbrico</t>
  </si>
  <si>
    <t>Balasto Electrónico 2x48 T12 120V Electro control</t>
  </si>
  <si>
    <t xml:space="preserve">Balasto Electrónico 2x96 T12 120V </t>
  </si>
  <si>
    <t>Balasto Electrónico 4x17/4x32</t>
  </si>
  <si>
    <t>Balastro Electrónico 1x36</t>
  </si>
  <si>
    <t>Balastro electrónico 2x 32 T12 120V</t>
  </si>
  <si>
    <t>Base para fotocelda</t>
  </si>
  <si>
    <t>Bombillo Ahorrador 11W</t>
  </si>
  <si>
    <t>Bombillo Ahorrador 20W</t>
  </si>
  <si>
    <t>Bombillo Sodio Tubular 70W</t>
  </si>
  <si>
    <t>Bombillo metal halide de 250W</t>
  </si>
  <si>
    <t>Bombillo metal halide de 400W</t>
  </si>
  <si>
    <t>Bombillo sodio Tubular 150W</t>
  </si>
  <si>
    <t>Borne terminal estanado #2</t>
  </si>
  <si>
    <t>Breaker 1x20 Enchufable Luminex</t>
  </si>
  <si>
    <t>Breaker 1x30 Enchufable Luminex</t>
  </si>
  <si>
    <t>Breaker 1x50 Enchufable Luminex</t>
  </si>
  <si>
    <t>Breaker 2x20 Enchufable Luminex</t>
  </si>
  <si>
    <t>Breaker 2x30 Enchufable Luminex</t>
  </si>
  <si>
    <t>Breaker 2x40 Enchufable Luminex</t>
  </si>
  <si>
    <t>Breaker 2x50 Enchufable Luminex</t>
  </si>
  <si>
    <t>Breaker 3x20 Enchufable Luminex</t>
  </si>
  <si>
    <t>Breaker 3x30 Enchufable Luminex</t>
  </si>
  <si>
    <t>Breaker 3x50 Enchufable Luminex</t>
  </si>
  <si>
    <t>Breaker 3x60 Enchufable Luminex</t>
  </si>
  <si>
    <t>Breaker 3x70 Enchufable Luminex</t>
  </si>
  <si>
    <t>Breaker 3x100 Enchufable Luminex</t>
  </si>
  <si>
    <t>Breaker totalizador 1250 A.</t>
  </si>
  <si>
    <t>Breaker totalizador Regulable 80-125 ABB</t>
  </si>
  <si>
    <t>Breaker totalizador Regulable 150- 200 ABB</t>
  </si>
  <si>
    <t>Cable cobre aislado 500 MCM</t>
  </si>
  <si>
    <t>Cable Cu Aislado #14</t>
  </si>
  <si>
    <t>Cable Cu Aislado THN Pro #2</t>
  </si>
  <si>
    <t>Cable Cu Aislado THN Pro #6</t>
  </si>
  <si>
    <t>Cable Cu Aislado THN Pro #8</t>
  </si>
  <si>
    <t xml:space="preserve">Cable cu dúplex paralelo 2 x 12  </t>
  </si>
  <si>
    <t xml:space="preserve">Cable cu dúplex paralelo 2 x 14 </t>
  </si>
  <si>
    <t>Cable CU Encauchetado 3 X 12</t>
  </si>
  <si>
    <t>Cable CU Encauchetado 3 X 14</t>
  </si>
  <si>
    <t>Cable No.10  THHN/TH Procable viakon #12 AWG 600V.</t>
  </si>
  <si>
    <t>Cable No.12  THHN/TH Procable viakon #12 AWG 600V.</t>
  </si>
  <si>
    <t>Cajas plásticas 5800 PVC Rectangular 2x4</t>
  </si>
  <si>
    <t>Canaleta 20 x 12 adhesiva</t>
  </si>
  <si>
    <t>Chasis 2X48 T:Economico</t>
  </si>
  <si>
    <t>Cinta Vinilo 3M Scotch 33</t>
  </si>
  <si>
    <t>Clavija de Caucho 15A Polo a Tierra</t>
  </si>
  <si>
    <t>Clavija de caucho 3x50A</t>
  </si>
  <si>
    <t>Codo Plastimec 1/2 PVC</t>
  </si>
  <si>
    <t>Codo Plastimec 1 1/4 PVC</t>
  </si>
  <si>
    <t>Codo Plastimec 1 PVC</t>
  </si>
  <si>
    <t>Codo Plastimec 3/4 PVC</t>
  </si>
  <si>
    <t>Codo Plastimec Para Ducto 2 PVC</t>
  </si>
  <si>
    <t>Condensador de 10 MF de 250 V</t>
  </si>
  <si>
    <t>Condensador de 30 MF de 250 V</t>
  </si>
  <si>
    <t xml:space="preserve">Condensador Luminaria 45 MF </t>
  </si>
  <si>
    <t>Cordón Telefónico Resortado 2 Metros</t>
  </si>
  <si>
    <t>Fotocelda 1.000 W.</t>
  </si>
  <si>
    <t xml:space="preserve">Fusibles  Fuente H.15A.  </t>
  </si>
  <si>
    <t xml:space="preserve">Interruptor doble  </t>
  </si>
  <si>
    <t>Interruptor sencillo</t>
  </si>
  <si>
    <t>Interruptor triple</t>
  </si>
  <si>
    <t xml:space="preserve">Cortafríos </t>
  </si>
  <si>
    <t>Extractores industriales</t>
  </si>
  <si>
    <t>Juegos de brocas (Proto)</t>
  </si>
  <si>
    <t>Juego Socket tubo t-8</t>
  </si>
  <si>
    <t>Juego copas de 9 mm a 23 mm y en pulgadas</t>
  </si>
  <si>
    <t>Juegos de llaves mixtas de la 9 mm a 23 mm en pulgadas.</t>
  </si>
  <si>
    <t>Lámpara de sodio 70W</t>
  </si>
  <si>
    <t>Lámpara de sodio150 w 208/220</t>
  </si>
  <si>
    <t>Lámpara Fluorescentes con rejilla 2x20</t>
  </si>
  <si>
    <t>Lámpara Fluorescentes Económica 2x48 sin tubo</t>
  </si>
  <si>
    <t>Lámpara metal 208/220V 400</t>
  </si>
  <si>
    <t>Pinzas de puntas</t>
  </si>
  <si>
    <t>Ponchadora para cable de UTP</t>
  </si>
  <si>
    <t>Probador  ausencia tensión</t>
  </si>
  <si>
    <t>Reflectores 400 w metal Halide</t>
  </si>
  <si>
    <t>Reflectores 250 w metal Halide</t>
  </si>
  <si>
    <t>Reactancia Sodio/Metal Halide 400W. 208/220V (Sin condensa)</t>
  </si>
  <si>
    <t>Reactancia Sodio/Metal 150W 208/220V</t>
  </si>
  <si>
    <t>Reactancia Sodio/Metal Halide 250W. 208/220V (Sin condensa)</t>
  </si>
  <si>
    <t>Regletas blanca de 12 puestos 30A</t>
  </si>
  <si>
    <t>Soket Sline</t>
  </si>
  <si>
    <t>Sisaya 12”</t>
  </si>
  <si>
    <t xml:space="preserve">Tablero 2 Circuitos </t>
  </si>
  <si>
    <t>Tablero 3 Circuitos</t>
  </si>
  <si>
    <t xml:space="preserve">Tapa plástica 5800 rectangular </t>
  </si>
  <si>
    <t>Terminal Anillo Aislado 12-10 Amarillo 1/4</t>
  </si>
  <si>
    <t>Terminal Macho Aislado 12-10 Amarillo</t>
  </si>
  <si>
    <t xml:space="preserve">Terminales hembra  Aislado 12-10 </t>
  </si>
  <si>
    <t>Toma aéreo caucho 15A polo a tierra</t>
  </si>
  <si>
    <t>Toma corriente doble con polo</t>
  </si>
  <si>
    <t>Toma corriente incrustar 50 A</t>
  </si>
  <si>
    <t>Toma teléfono S/P Adhesiva USA</t>
  </si>
  <si>
    <t>Tubo fluorescente 17 w T8</t>
  </si>
  <si>
    <t>Tubo fluorescente 32 w T8</t>
  </si>
  <si>
    <t>Tubo fluorescente T:12 48w</t>
  </si>
  <si>
    <t>Tubo fluorescente T:12 96w</t>
  </si>
  <si>
    <t>Tubo Led T:8 24W</t>
  </si>
  <si>
    <t xml:space="preserve">Tubo Plastimec 1 1/2” PVC </t>
  </si>
  <si>
    <t xml:space="preserve">Tubo Plastimec 1 1/4” PVC </t>
  </si>
  <si>
    <t xml:space="preserve">Tubo Plastimec 1/2” PVC </t>
  </si>
  <si>
    <t xml:space="preserve">Tubo Plastimec 3/4” PVC </t>
  </si>
  <si>
    <t xml:space="preserve">Tubo Telefónico Plastimec 2”X3 </t>
  </si>
  <si>
    <t xml:space="preserve">Varillas de  cobre  CU 5/8  1,80  </t>
  </si>
  <si>
    <t xml:space="preserve">Varillas de  cobre  CU 5/8  2.40   </t>
  </si>
  <si>
    <t xml:space="preserve">SUMINISTRO DE COMBUTIBLES Y LUBRICANTES, REFRIGERANTES, LIQUIDOS ETC. </t>
  </si>
  <si>
    <t>SERVICIO GENERALES - COORDINACION DE TRANSPORTE</t>
  </si>
  <si>
    <t>GALON, FRASCO</t>
  </si>
  <si>
    <t>COMBUSTIBLES Y LUBRICANTES DE CALIDAD</t>
  </si>
  <si>
    <t>CARPETA CUATRO SOLAPAS DESACIFICADA, COLOR AMARILLA,</t>
  </si>
  <si>
    <t>VARIAS OFICINAS DE LA UNIVERSIDAD SURCOLOMBIANA</t>
  </si>
  <si>
    <t>GANCHO MARIPOSA N2</t>
  </si>
  <si>
    <t>LAPIZ CORRECTOR</t>
  </si>
  <si>
    <t>CAJA</t>
  </si>
  <si>
    <t>PORTAMINA No: 0.7</t>
  </si>
  <si>
    <t>CD DVD</t>
  </si>
  <si>
    <t>GANCHO CLIP</t>
  </si>
  <si>
    <t>PAPEL BLANCO CARTA   DE EXPESOR 0,75 MM.</t>
  </si>
  <si>
    <t>PAPEL BLANCO OFICIO DE EXPESOR 0,75 MM.</t>
  </si>
  <si>
    <t>PAPEL BLANCO CARTA, MEMBRETEADO CON EL LOGO DE LA UNIVERSIDAD Y SU RESPETIVO COLOR DE ESPSOR 0,7 MM</t>
  </si>
  <si>
    <t>SOBRE MANILA TAMAÑO CARTA, COLOR AMARILLO</t>
  </si>
  <si>
    <t>SOBRE MANILA OFICIO COLOR AMARILLO</t>
  </si>
  <si>
    <t>CINTA TRANSPARENTE ANCHA</t>
  </si>
  <si>
    <t>CINTA TRANSPARENE DELGADA</t>
  </si>
  <si>
    <t>BANDAS DE CAUCHO</t>
  </si>
  <si>
    <t>TORRE</t>
  </si>
  <si>
    <t>GANCHO PLASTICO PARA LEGAJADOR</t>
  </si>
  <si>
    <t>MARCADOR BORRABLE RECARGABLE</t>
  </si>
  <si>
    <t>MARCADOR PERMANENTE</t>
  </si>
  <si>
    <t>MARCADOR SHARPIE</t>
  </si>
  <si>
    <t>RESMA</t>
  </si>
  <si>
    <t>RESALTADOR VERDE</t>
  </si>
  <si>
    <t>RESALTADOR AMARILLO</t>
  </si>
  <si>
    <t xml:space="preserve">CHINCHE X 50 </t>
  </si>
  <si>
    <t>MEMEMORIAS USB 32 GB</t>
  </si>
  <si>
    <t>LEGAJADOR CAFÉ</t>
  </si>
  <si>
    <t>LAMIX</t>
  </si>
  <si>
    <t>REGLAS METALICAS DE 30 CM</t>
  </si>
  <si>
    <t>CARTA</t>
  </si>
  <si>
    <t>CARTULINA PLIEGO POR PLIEGOS SURTIDA, VARIOS COLORES</t>
  </si>
  <si>
    <t>FRASCO</t>
  </si>
  <si>
    <t>CARTULINA POR OCTOVAS VAIOS COLORES</t>
  </si>
  <si>
    <t>MINAS PARA PORTAMINA 0.7</t>
  </si>
  <si>
    <t>PAQUETE</t>
  </si>
  <si>
    <t>PAQUETE  COLOR TRANSPARENTES</t>
  </si>
  <si>
    <t>COSEDORA BATES 550</t>
  </si>
  <si>
    <t xml:space="preserve"> FRASCO</t>
  </si>
  <si>
    <t>SACAGANCHO TIPO TIJERA,METALICO</t>
  </si>
  <si>
    <t>DE ALTA CALIDAD</t>
  </si>
  <si>
    <t>BISTURY CACHA METALICA</t>
  </si>
  <si>
    <t>PAPEL KIMBERLY A DIS TINTAS CON EL LOGOTIPO DE LA UNIVERSIDAD</t>
  </si>
  <si>
    <t>TIJERAS GRANDES</t>
  </si>
  <si>
    <t>CALCULADORA DE 16 DIGITOS</t>
  </si>
  <si>
    <t>PAQUEETE</t>
  </si>
  <si>
    <t>NORMA PQT*20</t>
  </si>
  <si>
    <t>GANCHOS COSEDORA  INDUSTRIAL</t>
  </si>
  <si>
    <t>RECARGABLE</t>
  </si>
  <si>
    <t>PERFORADORAS</t>
  </si>
  <si>
    <t>COLORES VARIADO</t>
  </si>
  <si>
    <t>LAPICERO UNIBOLL</t>
  </si>
  <si>
    <t>edding 200</t>
  </si>
  <si>
    <t>PILAS AA</t>
  </si>
  <si>
    <t>AHARPIE</t>
  </si>
  <si>
    <t>PILAS AAA</t>
  </si>
  <si>
    <t>FABER CASSTEL</t>
  </si>
  <si>
    <t>LIBROS TRES COLUMNAS</t>
  </si>
  <si>
    <t>DE VARIO COLORES</t>
  </si>
  <si>
    <t>POSTY DE COLORES</t>
  </si>
  <si>
    <t>STUMARK 75*75 OFFI-ESCO 300 H</t>
  </si>
  <si>
    <t>BORRADOR NATA</t>
  </si>
  <si>
    <t>VARIOS COLORES</t>
  </si>
  <si>
    <t>BORRADOR PARA TABLERO EN ACRILICO</t>
  </si>
  <si>
    <t>OFICINA 6-1/2 NEGRAS WINGO</t>
  </si>
  <si>
    <t>PINCEL No 9, 10 y 12 50 DE C/U</t>
  </si>
  <si>
    <t>CAJA DE COLORES TRITTO</t>
  </si>
  <si>
    <t>LAPICERO ROJO</t>
  </si>
  <si>
    <t>TIPO TIJERA, TRITTON</t>
  </si>
  <si>
    <t>PEGANTE - COLBÓN, PARA PAPEL FRASCO 2500</t>
  </si>
  <si>
    <t>RAPID 120</t>
  </si>
  <si>
    <t>LAPICERO NEGRO</t>
  </si>
  <si>
    <t>KANGARO DP-480/12 HOJAS</t>
  </si>
  <si>
    <t>LAPICERO MICRO PUNTA</t>
  </si>
  <si>
    <t>OFFIESCO OE-324 7O HJ</t>
  </si>
  <si>
    <t>ALMOHADILLA PARA SELLOS</t>
  </si>
  <si>
    <t>XG-833/40 HOJAS</t>
  </si>
  <si>
    <t>COSEDEORA INDUSTRIAL</t>
  </si>
  <si>
    <t>PAR AAA</t>
  </si>
  <si>
    <t>PERFORADORA INDUSTRIAL</t>
  </si>
  <si>
    <t>PAR AA</t>
  </si>
  <si>
    <t>SACAGANCHOS INDUSTRIAL</t>
  </si>
  <si>
    <t>DE 30 CM.</t>
  </si>
  <si>
    <t>ROLLOS DE STIKER ZT-230-ZEBRA CON EL LOGOTIPO DE LA USCO, DE 5 CM. X 25 CM. METALIZADO</t>
  </si>
  <si>
    <t>FOMI1150</t>
  </si>
  <si>
    <t>PEGANTE EN BARRAS</t>
  </si>
  <si>
    <t>GENIOS DX-120 USB NEGRO</t>
  </si>
  <si>
    <t>PAPAPELERA DE ESCRITORIO, EN MADERA</t>
  </si>
  <si>
    <t>MH 16</t>
  </si>
  <si>
    <t>CINTA DE ENMASCARAR 1" Y DE 2”</t>
  </si>
  <si>
    <t>POINTER</t>
  </si>
  <si>
    <t>GANCHO COSEDORA</t>
  </si>
  <si>
    <t>CON FECHA, HORA DE RECIBIDO, Y OFICINA QUIEN RECIBE</t>
  </si>
  <si>
    <t xml:space="preserve">TINTAS ALMOHADILLAS </t>
  </si>
  <si>
    <t>PAQUETE DE TAMAÑO MEDIANO</t>
  </si>
  <si>
    <t>FECHADOR MANUAL</t>
  </si>
  <si>
    <t>ENERGE DIGITAL</t>
  </si>
  <si>
    <t>TINTA PARA RECARGAR MARCADORES, SURTIDA</t>
  </si>
  <si>
    <t>CILINDRICO CROMADA CON TAPA</t>
  </si>
  <si>
    <t>GUILLOTINAS PARA COTAR PAPEL DE 38X45"</t>
  </si>
  <si>
    <t xml:space="preserve">ROLLO </t>
  </si>
  <si>
    <t xml:space="preserve">PAPEL MATALIZADO CON EL LOGO DE LA USCO, ROLLO CON 500 UNIDADES </t>
  </si>
  <si>
    <t>AZ CARTA</t>
  </si>
  <si>
    <t>ADHESIVO</t>
  </si>
  <si>
    <t>SACAPUNTAS</t>
  </si>
  <si>
    <t>PARA RCHIVADOR</t>
  </si>
  <si>
    <t>HUELLERO DACTILAR CAJA REDONDA</t>
  </si>
  <si>
    <t>METALICO CROMADO</t>
  </si>
  <si>
    <t>CARPETAS COLGANTES COLOR CAFÉ</t>
  </si>
  <si>
    <t>SELLO RADICADOR DE CORRESPONDENCIA AUTOMATICO</t>
  </si>
  <si>
    <t xml:space="preserve">TCG 200-70 </t>
  </si>
  <si>
    <t xml:space="preserve">ESFERO LAMIX </t>
  </si>
  <si>
    <t>GBC MODELO 5500</t>
  </si>
  <si>
    <t>MINAS PARA ESPEROS LAMIX</t>
  </si>
  <si>
    <t>BIOMETRICA DACTILAR</t>
  </si>
  <si>
    <t>LAPIZ No:2 GRAFITO HB CON MINA CONTINUA</t>
  </si>
  <si>
    <t>TIPO TIJERA DE ALTA CALIDAD</t>
  </si>
  <si>
    <t>TINTA PARA ALMOHADILLAS</t>
  </si>
  <si>
    <t>NEGRA</t>
  </si>
  <si>
    <t xml:space="preserve">TECHO PRSUPUESAL : </t>
  </si>
  <si>
    <t>TONNER SAMSUNG MLTD D203L SAMSUNG</t>
  </si>
  <si>
    <t xml:space="preserve">10 MESES </t>
  </si>
  <si>
    <t>TONNER SAMSUNG MLTD D101S SAMSUNG</t>
  </si>
  <si>
    <t>TONNER SAMSUNG MLTD D105L SAMSUNG</t>
  </si>
  <si>
    <t>TONNER SAMSUNG MLTD D109S SAMSUNG</t>
  </si>
  <si>
    <t>TONNER SAMSUNG MLTD D209L SAMSUNG</t>
  </si>
  <si>
    <t>TONNER SAMSUNG MLTD D205L  SAMSUNG</t>
  </si>
  <si>
    <t>TONNER SAMSUNG MLTD D111SAMSUNG</t>
  </si>
  <si>
    <t>TONNER SAMSUNG MLTD D104 SAMSUNG</t>
  </si>
  <si>
    <t>TONNER 15A</t>
  </si>
  <si>
    <t>TONNER 05X</t>
  </si>
  <si>
    <t>TONNER 49 A</t>
  </si>
  <si>
    <t>TONNER 35 A</t>
  </si>
  <si>
    <t>TONNER 64 A</t>
  </si>
  <si>
    <t>TONNER 85 A</t>
  </si>
  <si>
    <t>TONNER 90 A</t>
  </si>
  <si>
    <t>RODILLO 12A HP</t>
  </si>
  <si>
    <t>RODILLO 37 HP</t>
  </si>
  <si>
    <t>RODILLO 35A HP</t>
  </si>
  <si>
    <t>RODILLO 90A HP</t>
  </si>
  <si>
    <t>RODILLO 15A  HP</t>
  </si>
  <si>
    <t>BOLSA O FRASCO</t>
  </si>
  <si>
    <t>RODILLO 81A HP</t>
  </si>
  <si>
    <t>CUCHILLA LIMPIADORA 12 A HP</t>
  </si>
  <si>
    <t>CUCHILLA LIMPIADORA 37 HP</t>
  </si>
  <si>
    <t>CUCHILLA LIMPIADORA 78 A HP</t>
  </si>
  <si>
    <t>CUCHILLA LIMPIADORA 55 A HP</t>
  </si>
  <si>
    <t>CUCHILLA LIMPIADORA 90 A HP</t>
  </si>
  <si>
    <t>CUCHILLA LIMPIADORA 05X HP</t>
  </si>
  <si>
    <t>CUCHILLA LIMPIADORA 15 A HP</t>
  </si>
  <si>
    <t>CUCHILLA LIMPIADORA 81 A HP</t>
  </si>
  <si>
    <t>CUCHILLA MLT D205</t>
  </si>
  <si>
    <t>RODILLO MLT D101S</t>
  </si>
  <si>
    <t>RODILLO MLT D109S</t>
  </si>
  <si>
    <t>RODILLO MLT D209L</t>
  </si>
  <si>
    <t>RODILLO MLT D205L</t>
  </si>
  <si>
    <t>RODILLO MLT D111</t>
  </si>
  <si>
    <t>RODILLO MLT D104</t>
  </si>
  <si>
    <t>RODILLO MLT D203</t>
  </si>
  <si>
    <t>RODILLO 05 HP</t>
  </si>
  <si>
    <t>RODILLO MLTD 104</t>
  </si>
  <si>
    <t>RODILLO MLTD 205</t>
  </si>
  <si>
    <t>RODILLO MLT 2855</t>
  </si>
  <si>
    <t>CUCHILLA LIMPIADORA MLT D101 S</t>
  </si>
  <si>
    <t>CUCHILLA LIMPIADORA MLT D105 L</t>
  </si>
  <si>
    <t>CUCHILLA LIMPIADORA MLT D109 S</t>
  </si>
  <si>
    <t>CUCHILLA LIMPIADORA MLT D209 S</t>
  </si>
  <si>
    <t>CUCHILLA LIMPIADORA MLT D205 S</t>
  </si>
  <si>
    <t>CUCHILLA LIMPIADORA MLT D111</t>
  </si>
  <si>
    <t>CUCHILLA LIMPIADORA MLT D109</t>
  </si>
  <si>
    <t>CUCHILLA LIMPIADORA MLT D104</t>
  </si>
  <si>
    <t>CUCHILLA LIMPIADORA 90A HP</t>
  </si>
  <si>
    <t>CUCHILLA LIMPIADORA MLTD205</t>
  </si>
  <si>
    <t>CUCHILLA LIMPIADORA ML 2855ND</t>
  </si>
  <si>
    <t>CUCHILLA LIMPIADORA 12A HP</t>
  </si>
  <si>
    <t>CUCHILLA LIMPIADORA 35A HP</t>
  </si>
  <si>
    <t>CUCHILLA LIMPIADORA MLT D203 S</t>
  </si>
  <si>
    <t>POLVILLO UNIVERSAL HP COMPONNETE DE COLOMBIA MPY</t>
  </si>
  <si>
    <t>POLVILLO UNIVERSAL SAMSUNG ML 5000</t>
  </si>
  <si>
    <t>POLVILLO UNITET CALIDAD AA</t>
  </si>
  <si>
    <t>CARTUCHO 56 NEGRO</t>
  </si>
  <si>
    <t xml:space="preserve">CARTUCHO 60 TRICOLOR </t>
  </si>
  <si>
    <t>CARTUCHO 98 NEGRO</t>
  </si>
  <si>
    <t>CARTUCHO 75 TRICOLOR</t>
  </si>
  <si>
    <t>CARTUCHO 17 NEGRO</t>
  </si>
  <si>
    <t xml:space="preserve">CARTUCHO 475 TRICOLOR </t>
  </si>
  <si>
    <t xml:space="preserve">CARTUCHO 74 NEGRO </t>
  </si>
  <si>
    <t>CATUCHO 30 NEGRO</t>
  </si>
  <si>
    <t xml:space="preserve">Limpido o blanqueador * 3800cc </t>
  </si>
  <si>
    <t>GALON</t>
  </si>
  <si>
    <t>ELEMENTOS Y MATERIALES DE CALIDAD Y MARCAS RECONOCIDAS EN EL MERCADO</t>
  </si>
  <si>
    <t xml:space="preserve">Desinfectante para pisos * 3800 cc </t>
  </si>
  <si>
    <t xml:space="preserve">Detergente en polvo *1000grs </t>
  </si>
  <si>
    <t>KILO</t>
  </si>
  <si>
    <t xml:space="preserve">Cera liquida blanca para pisos * 3800cc </t>
  </si>
  <si>
    <t xml:space="preserve">Limpia vidrios *3000cc </t>
  </si>
  <si>
    <t xml:space="preserve">Gancho para trapero industrial, mango en aluminio </t>
  </si>
  <si>
    <t xml:space="preserve">Escoba en nylon ref. 228, con diametro para barrer de 32 cm. </t>
  </si>
  <si>
    <t xml:space="preserve">Toallas descechables, blancas suplex * 150 unidades. x 24 paquete </t>
  </si>
  <si>
    <t xml:space="preserve">Recogedor plastico </t>
  </si>
  <si>
    <t xml:space="preserve">paños abrasivos de 10*15 cms </t>
  </si>
  <si>
    <t xml:space="preserve">Escoba limpia telarañas </t>
  </si>
  <si>
    <t>Jabon liquido antibacterial para manos * 3000 cc</t>
  </si>
  <si>
    <t xml:space="preserve">Chupa para baño </t>
  </si>
  <si>
    <t xml:space="preserve">Churrusco para baño </t>
  </si>
  <si>
    <t xml:space="preserve">Jabon tocador o para manos  </t>
  </si>
  <si>
    <t xml:space="preserve">Trapero en pavllo * 400 gramos </t>
  </si>
  <si>
    <t xml:space="preserve">Mecha trapero de 400grs </t>
  </si>
  <si>
    <t xml:space="preserve">Papel higienico doble hoja *48 2en1 * 32mts </t>
  </si>
  <si>
    <t>PACA</t>
  </si>
  <si>
    <t xml:space="preserve">Balde plastico 10 lts </t>
  </si>
  <si>
    <t xml:space="preserve">Papelera para baño </t>
  </si>
  <si>
    <t xml:space="preserve">Papel higienico industrial natural * 250mts </t>
  </si>
  <si>
    <t xml:space="preserve">Bayetilla blanca </t>
  </si>
  <si>
    <t>METRO</t>
  </si>
  <si>
    <t xml:space="preserve">Bayetilla roja </t>
  </si>
  <si>
    <t>Bolsa industrial negra c-2.00 * 10 unidades</t>
  </si>
  <si>
    <t>Bolsa grande negra jumbo c-3 * 10 unidades</t>
  </si>
  <si>
    <t xml:space="preserve">Ambintador Spray oficina  *360cc </t>
  </si>
  <si>
    <t xml:space="preserve">Ambientador baño gel  </t>
  </si>
  <si>
    <t xml:space="preserve">Manguera completa 1/2" con pistola * 30 mts </t>
  </si>
  <si>
    <t>Limpiamax * 3800cc</t>
  </si>
  <si>
    <t>Carro escurridor de traperos * 35 litros</t>
  </si>
  <si>
    <t>Aviso O señal preventiva piso mojado</t>
  </si>
  <si>
    <t>Insecticida en aerosol para zancudos y moscas por 360  Raid para zancudos (**)</t>
  </si>
  <si>
    <t xml:space="preserve">Aromatica surtida * 24 cajas </t>
  </si>
  <si>
    <t>Aromatica de Frutos Rojos</t>
  </si>
  <si>
    <t>Aromatica liquida surtida</t>
  </si>
  <si>
    <t xml:space="preserve">Vasos desechables ecologicos para agua de 7 oz* caja * 2000 unidades </t>
  </si>
  <si>
    <t xml:space="preserve">Vasos desechables ecologico para tinto 4 onzas caja * 2000 unidades </t>
  </si>
  <si>
    <t xml:space="preserve">Termo bomba para café, de 1.5 litros </t>
  </si>
  <si>
    <t xml:space="preserve">Cocineta electrica de 2 puestos </t>
  </si>
  <si>
    <t>Mezcladores * 500 unidades</t>
  </si>
  <si>
    <t>Bandejas Plasticas medianas</t>
  </si>
  <si>
    <t xml:space="preserve">Cafetera electrica, jarra de vidrio con capacidad para 10 tintos </t>
  </si>
  <si>
    <t>Termo Imusa * 1 litro</t>
  </si>
  <si>
    <t>Greca café cap. 120 tintos</t>
  </si>
  <si>
    <t>Azucar por libras</t>
  </si>
  <si>
    <t>Aromatica panela</t>
  </si>
  <si>
    <t xml:space="preserve">café tostado y molido * 500 grs tipo 1 </t>
  </si>
  <si>
    <t>DOTAICÓN PARA EMPLEADOS PÚBLICOS Y TRABAJADORES OFICIALES, CONSISTENTE EN UNA CAMISA, PATALON Y UN PAR DE ZAPATOS PARA HOMBRES, PARA DAMAS: BLUSA, FALDA Y PAR DE ZAPATOS</t>
  </si>
  <si>
    <t>OFICINA DE RECURSOS</t>
  </si>
  <si>
    <t>MATERIALES DE ALTA CALIDAD Y MARCAS RECONOCIDAS</t>
  </si>
  <si>
    <t>SERVICIO GENERALES VICERRECTORIA ADMINISTRATIVA</t>
  </si>
  <si>
    <t xml:space="preserve">PROPIOS </t>
  </si>
  <si>
    <t>SERVICIO DE CALIDAD</t>
  </si>
  <si>
    <t>SERVICIO GENRALES - COORDINACION DE TRANSPORTE</t>
  </si>
  <si>
    <t xml:space="preserve">REPUESTOS DE ALTA CALIDAD Y MARCAS RECONOCIDAS </t>
  </si>
  <si>
    <t xml:space="preserve">OTROS GASTOS POR SERVICIOS </t>
  </si>
  <si>
    <t>REPUESTOS DE CALIDAD</t>
  </si>
  <si>
    <t>GASTOS DESPLAZAMIENTO A LAS SEDES DE LA UNIVERSIDAD SURCOLOMBIANA</t>
  </si>
  <si>
    <t>SEVICIOS DE CALIDAD</t>
  </si>
  <si>
    <t>ARRENDAMIENTOS DE INMUEBLES PARA FUNCIONAMIENTO DE OFICINAS, PARA EL DESARROLLO DE LA ADMINISTRACIÓN , LA ACADEMIA Y LA INVESTIGACIÓN</t>
  </si>
  <si>
    <t>CAJA MENOR</t>
  </si>
  <si>
    <t>PARA COMPRAS MENORES</t>
  </si>
  <si>
    <t>COMUNICACIÓN Y TRANSPORTE DE ENCOMIENDAS Y CORESPONDENCIA</t>
  </si>
  <si>
    <t>SERVICIOS DE CALIDAD</t>
  </si>
  <si>
    <t>TECHO PRESUPUESAL:</t>
  </si>
  <si>
    <t>SERVICIOS GENERALES COORDIANCOÓN DE TRASNPORTE</t>
  </si>
  <si>
    <t>SOPORTE Y MANTENIMIENTO SISTEMA ADMINISTRATIVO Y FINANCIERO LINIX</t>
  </si>
  <si>
    <t>FINANCIERA, TALENTO HUMANO, RECURSOS FÍSICOS</t>
  </si>
  <si>
    <t>6 MESES</t>
  </si>
  <si>
    <t>MATERIALES DE CALIDAD Y MARCAS RECONOCIDAS EN EL MERCADO</t>
  </si>
  <si>
    <t>SERVICIOS GENERALES Y DIRECCÓN DE SEDES</t>
  </si>
  <si>
    <t>SERVICIO DE MANTENIMIENTO DE CORTINAS Y PERSIANAS</t>
  </si>
  <si>
    <t xml:space="preserve">SERVICIOS GENERALES </t>
  </si>
  <si>
    <t>OTROS MANTENIMIENTOS DE LA USCO</t>
  </si>
  <si>
    <t>SERVICIOS GENERALES Y DIRECCÓN DE SEDES Y VICERRECTORIA ADMINISTRATIVA</t>
  </si>
  <si>
    <t>SERVICIOS GENERALES Y VICERRECTORIA ADMINISTRATIVA</t>
  </si>
  <si>
    <t>SERVICIO DE CALIDAD, CON PERSONAL IDONEO Y CAPACITADO</t>
  </si>
  <si>
    <t>VIATICOS PARA EL DESPLAZAMIENTO DE DOCENTES, EMPLEADOS PUBLICOS Y TRABAJADORES OFICIALES</t>
  </si>
  <si>
    <t>GASTOS DE VIAJE  PARA EL DESPLAZAMIENTO DE DOCENTES, EMPLEADOS PUBLICOS Y TRABAJADORES OFICIALES</t>
  </si>
  <si>
    <t>RUBRO: 2011390 - EQUIPOS Y ACCESORIOS DE COMUNICACIÓN</t>
  </si>
  <si>
    <t>REPUESTOS VARIO S PARA VEHICULOS OFICIALES DE  LA UNIVERSIDAD SURCOLOMBIANA Y OTROS REPUESTOS</t>
  </si>
  <si>
    <t>SEGUROS - VARIOS (VEHICULOS, PLANTA FISICA, EQUIPOS Y RECURSO HUMANO)</t>
  </si>
  <si>
    <t>MANTENIMIENTO  PARA  VEHICULOS Y MOTOS OFICIALES DE LA DE LA UNIVERSIDAD SURCOLOMBIANA</t>
  </si>
  <si>
    <t>MANTENIMIENTO CON CALIDAD PARA EL PARQUE AUTOMOTOR DE LA UNIVERSIDAD</t>
  </si>
  <si>
    <t xml:space="preserve">SOPORTE Y MANTENIMIENTO TÉCNICO Y ADMINISTRATIVO </t>
  </si>
  <si>
    <t xml:space="preserve">SUMINISTRO DE ABONOS, VENENOS Y FUNGICIDAS, PARA LA PLANTA FÍSICA DE LA UNIVERSIDAD </t>
  </si>
  <si>
    <t>MANTENIMIENTO PARA AIRES ACONDICIONADOS, EQUIPOS REFRIGERANTES Y DISPENSDORES DE AGUA</t>
  </si>
  <si>
    <t>INSTALACIONES DE DIVISIONES MODULARES Y VIRIOS PARA LAS ESTRUTURAS FISICAS SE LA USCO</t>
  </si>
  <si>
    <t>SERVICIO DE LAVADO Y PLANCHADO DE PRENDAS DE LABORATORIOS FACULTAD DE SALUD, BIENESTRA UNIVERSITARIO Y OTROS</t>
  </si>
  <si>
    <t xml:space="preserve">SERVICIO DE FUMIGACIÓN DETODAS  LAS SEDES DE LA UNIVERSIDAD SURCOLOMBIANA. </t>
  </si>
  <si>
    <t>MANTINIMIETO CORRECTIVO Y PREVENTIVO DE PLANTAS TELLEFONICAS, LINEAS TELEFONICAS, DE TODAS LAS SEDES DE LA USCO.</t>
  </si>
  <si>
    <t>SERVICIO DE LAVADOS Y DESINFECCIÓN DE TANQUES DE TODAS LAS SEDES DE LA USCO.</t>
  </si>
  <si>
    <t>MANTENIMIENTO PREVENTIVO Y CORRECTIVO PARA LOS COMPRESORES, MOTORES ELECTRICOS  Y PLANTAS ELECTRICAS DE LAS SEDES DE LA USCO</t>
  </si>
  <si>
    <t>MANTENIMIENTO PREVENTIVO Y CORRECTIVO, DE ARCHIVADORES RODANTES DE LA UNIVERSIDAD SURCOLOBIANA</t>
  </si>
  <si>
    <t>MANTENIMIENTO PREVENTIVO Y CORRECTIVO DE LA PISCINA</t>
  </si>
  <si>
    <t>SOLICITUD PÚBLICA DE OFERTA</t>
  </si>
  <si>
    <t>SERVICIOS PUBLICOS)AGUA, LUZ, TELEFONO Y GAS),  PARA TODAS LAS SEDES DE LA USCO</t>
  </si>
  <si>
    <t>SERVICIOS DE INTRNET PARA TODAS LAS SEDES DE LA USCO</t>
  </si>
  <si>
    <t>SERVICIO DE VIGILANCIA PRIVADA PARA TODAS LAS SEDE DE LA USCO</t>
  </si>
  <si>
    <t>SERVICIO DE ASEO INTEGRAL PARA TODAS LAS SEDES DE LA USCO</t>
  </si>
  <si>
    <t>CTIC Y VICERRECTORIA ADMINISTRATIVA</t>
  </si>
  <si>
    <t>GASTOS DE PUBLICACIONES EN DIFERENTES MEDIOS DE COMUNICACIÓN</t>
  </si>
  <si>
    <t>SERVICIO DE FOTOCOPIAS PARA TODAS LA AREAS DE LA USCO</t>
  </si>
  <si>
    <t>IMPRESOS EN GENERAL DE LA USCO</t>
  </si>
  <si>
    <t>RECTORIA , VICERRECTORIA ADMINISTRATIVA VICERRECTORIA ACADEMECA, VICERRECTORIA DE INVESTIGACIONES</t>
  </si>
  <si>
    <t xml:space="preserve">ACTIVIDADES DE LOS ESTUDIANTES PARA PARTICIPAR EN EVENTOS INSTITUCIONALES </t>
  </si>
  <si>
    <t>ACTIVIDADES VARIAS DE BIENESTAR UNIVERSITARIO, NEGOCIACIONES SINDICALES. ESTATUTO ADMINISTRATIVO</t>
  </si>
  <si>
    <t>GASTOS VARIOS DE BIENESTAR UNIVERSITARIO</t>
  </si>
  <si>
    <t>SERVICIO CON CALIDAD</t>
  </si>
  <si>
    <t>PLANEACIÓN Y VICERRECTORIA ADMINISTRATIVA</t>
  </si>
  <si>
    <t xml:space="preserve">ADQUISICIÓN DE MATERIALES Y  EQUIPOS EDUCATIVOS PARA TODAS LAS SEDES DE LA UNIVERSIDAD, SEGÚN PLAN DE ACCIÓN </t>
  </si>
  <si>
    <t>CONTRUCCIONES, ADECUACIONES, Y MANTENIMIENTO SEDES USCO, CONTEMPLADAS EN EL PLAN DE OBRAS, PLAN DE MANTENIMIENTO DEL PLAN DE ACCIÓN</t>
  </si>
  <si>
    <t>PLAN DE OBRAS, PLAN DE MANTENIMIENTO, PLAN DE ACCION</t>
  </si>
  <si>
    <t>PLAN DE ACCION</t>
  </si>
  <si>
    <t>COMPUTADOR PERSONAL TODO EN UNO  CORE i5 - ULTIMA GENERACION</t>
  </si>
  <si>
    <t>SELESCCION DIRECTA</t>
  </si>
  <si>
    <t>RUBRO: 2011590 SISTEMA DE SEGURIDAD</t>
  </si>
  <si>
    <t>RUBRO: 2012190 MATERIALES ELECTRICOS</t>
  </si>
  <si>
    <t>VALOR VIGENCIA 2019</t>
  </si>
  <si>
    <t>RUBRO: 2012290 COMBUSTIBLES</t>
  </si>
  <si>
    <t>SOLICITUD PRIVADA DE OFERTAS</t>
  </si>
  <si>
    <t>ELEMENTOS DE CALIDAD</t>
  </si>
  <si>
    <t>RUBRO: 2012390 PAPELERIA GENERAL Y ELEMENTOS OFICINA</t>
  </si>
  <si>
    <t>RUBRO:2012490 CINTAS, CARTUCHOS, TONER Y RECARGAS</t>
  </si>
  <si>
    <t>TINTAS IMPRESORA EPSON VARIOS COLORES</t>
  </si>
  <si>
    <t>TONNER 12 A</t>
  </si>
  <si>
    <t>TONER 05 A</t>
  </si>
  <si>
    <t>TONNER 78 A HP</t>
  </si>
  <si>
    <t>TONNER 16 A</t>
  </si>
  <si>
    <t>TONNER 13 A</t>
  </si>
  <si>
    <t>RUBRO: 2012590 ELEMENTOS DE ASEO</t>
  </si>
  <si>
    <t>RUBRO: 2012690 DOTACION ADMINISTRATIVA</t>
  </si>
  <si>
    <t>SELECCION DIRECTA/SOLICITUD PRIVADA DE OFERTAS</t>
  </si>
  <si>
    <t>RUBRO: 2012790 HERRAMIENTAS Y ACCESORIOS</t>
  </si>
  <si>
    <t>MANTENIMIENTO Y ADECUACION DE LA INFRAESRUCTURA FISIC, ZONAS VERDES, CAMPOS DEPORTIVOS Y EQUIPOS Y MAQUINARIA</t>
  </si>
  <si>
    <t>RUBRO: 2013190 MANTENIMIENTOS EN GENERAL</t>
  </si>
  <si>
    <t>RUBRO: 2013290 REPUESTOS VARIOS</t>
  </si>
  <si>
    <t>SELECCIÓN DIRECTA</t>
  </si>
  <si>
    <t>RUBRO: 2021090 OTROS GASTOS POR SERVICIOS</t>
  </si>
  <si>
    <t>RUBRO: 2021190 GASTOS DESPLAZAMIENTOS A LAS SEDES</t>
  </si>
  <si>
    <t>RUBRO: 202390 ARRENDAMINETOS</t>
  </si>
  <si>
    <t>RUBRO: 202690 COMUNICACIONES Y TRANSPORTE</t>
  </si>
  <si>
    <t>RUBRO: 202790 SEGUROS</t>
  </si>
  <si>
    <t>RUBRO: 202890 BIENESTAR SOCIAL</t>
  </si>
  <si>
    <t>SELECCIÓN  DIRECTA</t>
  </si>
  <si>
    <t>RUBRO: 2021390 VEHÍCULOS</t>
  </si>
  <si>
    <t>MANTENIMIENTO PREVENTIVO Y CORRECTIVO DE ASCENSORES  DE LA UNIVERSIDAD</t>
  </si>
  <si>
    <t>SELECCIÓN DIRECTA/SOLICITUD PRIVADA DE OFERTAS</t>
  </si>
  <si>
    <t>RUBRO: 2021690 OTROS MANTENIMIENTOS</t>
  </si>
  <si>
    <t>RUBRO: 2021790 CONTRATOS, CELADURIAS Y ASEADORAS</t>
  </si>
  <si>
    <t>RUBRO: 2022190 SEDES</t>
  </si>
  <si>
    <t>RUBRO: 2022290 INTERNET</t>
  </si>
  <si>
    <t>RUBRO: 2024190 VIATICOS</t>
  </si>
  <si>
    <t>RUBRO: 2024290 GASTOS DE VIAJE</t>
  </si>
  <si>
    <t>RUBRO: 2025190 PUBLICACIONES</t>
  </si>
  <si>
    <t>RUBRO: 2025290 FOTOCOPIAS</t>
  </si>
  <si>
    <t>RUBRO: 2025490 IMPRESOS</t>
  </si>
  <si>
    <t>RUBRO: 301590 EVENTOS ACTIVIDADES ESTUDIANTILES</t>
  </si>
  <si>
    <t>RUBRO: 301990 FONDO DE BIENESTAR SOCIAL</t>
  </si>
  <si>
    <t>RUBRO: 3012290 OTROS GASTOS</t>
  </si>
  <si>
    <t>RUBRO: 301490 SALUD OCUPACIONAL</t>
  </si>
  <si>
    <t>RUBRO: 1117051 CONSTRUC, ADECUACION Y MANTENIMIENTO SEDES USCO</t>
  </si>
  <si>
    <t>SOLICITUD PUBLICA DE OFERTAS</t>
  </si>
  <si>
    <t>RUBRO: 40190 INSUMOS, JORNALES, MANTENIMIENTO Y COMBUSTIBLES</t>
  </si>
  <si>
    <t>RUBRO: 2117051 ADQUISICION MATERIALES Y EQ. EDUCATIVOS</t>
  </si>
  <si>
    <t>PLAN GENERAL DE COMPRAS - VIGENCIA 2019</t>
  </si>
  <si>
    <t>CSU (SALON 203 POSTGRADOS)</t>
  </si>
  <si>
    <t>IMPRESORA  LASSET P 1006 (VERSION ACTUAL)</t>
  </si>
  <si>
    <t>ACTIVIDADES  ADMINISTRATIVAS</t>
  </si>
  <si>
    <t>GASTOS DE BIENESTAR PARA LA COMUNIDAD UNIVERSITARIA, NEGOCIACIONES SINDICALES Y CONSEJO SUPERIOR UNIVERSITARIO</t>
  </si>
  <si>
    <t>HERRAMIENTAS Y ACCESORIOS PARA MENTENIMIENTO DE INFRAESTRUCTURA FISICA DE TODAS LAS SEDES DE LA UNIVERSIDAD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</si>
</sst>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_-;\-* #,##0_-;_-* &quot;-&quot;_-;_-@_-"/>
    <numFmt numFmtId="165" formatCode="_(* #,##0_);_(* \(#,##0\);_(* &quot;-&quot;??_);_(@_)"/>
    <numFmt numFmtId="166" formatCode="_(&quot;$&quot;\ * #,##0_);_(&quot;$&quot;\ * \(#,##0\);_(&quot;$&quot;\ * &quot;-&quot;??_);_(@_)"/>
    <numFmt numFmtId="167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b/>
      <sz val="10"/>
      <name val="Calibri Light"/>
      <family val="2"/>
    </font>
    <font>
      <sz val="10"/>
      <name val="Calibri Light"/>
      <family val="2"/>
    </font>
    <font>
      <sz val="10"/>
      <color rgb="FF000000"/>
      <name val="Calibri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5" xfId="0" applyBorder="1"/>
    <xf numFmtId="0" fontId="8" fillId="0" borderId="0" xfId="0" applyFont="1"/>
    <xf numFmtId="0" fontId="10" fillId="0" borderId="5" xfId="0" applyFont="1" applyBorder="1" applyAlignment="1">
      <alignment horizontal="justify" vertical="top"/>
    </xf>
    <xf numFmtId="0" fontId="11" fillId="0" borderId="5" xfId="0" applyFont="1" applyBorder="1" applyAlignment="1">
      <alignment horizontal="justify" vertical="top" wrapText="1"/>
    </xf>
    <xf numFmtId="165" fontId="8" fillId="0" borderId="0" xfId="1" applyNumberFormat="1" applyFont="1"/>
    <xf numFmtId="0" fontId="7" fillId="2" borderId="3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 wrapText="1"/>
    </xf>
    <xf numFmtId="166" fontId="8" fillId="2" borderId="3" xfId="2" applyNumberFormat="1" applyFont="1" applyFill="1" applyBorder="1" applyAlignment="1">
      <alignment horizontal="center"/>
    </xf>
    <xf numFmtId="166" fontId="7" fillId="3" borderId="4" xfId="2" applyNumberFormat="1" applyFont="1" applyFill="1" applyBorder="1" applyAlignment="1">
      <alignment horizontal="center" vertical="center" wrapText="1"/>
    </xf>
    <xf numFmtId="166" fontId="0" fillId="0" borderId="0" xfId="2" applyNumberFormat="1" applyFont="1"/>
    <xf numFmtId="0" fontId="8" fillId="0" borderId="6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66" fontId="0" fillId="0" borderId="0" xfId="0" applyNumberFormat="1"/>
    <xf numFmtId="166" fontId="8" fillId="0" borderId="5" xfId="2" applyNumberFormat="1" applyFont="1" applyFill="1" applyBorder="1" applyAlignment="1">
      <alignment horizontal="center" vertical="center" wrapText="1"/>
    </xf>
    <xf numFmtId="166" fontId="8" fillId="0" borderId="0" xfId="2" applyNumberFormat="1" applyFont="1" applyFill="1" applyBorder="1" applyAlignment="1">
      <alignment horizontal="center" vertical="center" wrapText="1"/>
    </xf>
    <xf numFmtId="0" fontId="0" fillId="0" borderId="0" xfId="0" applyBorder="1"/>
    <xf numFmtId="166" fontId="8" fillId="0" borderId="5" xfId="2" applyNumberFormat="1" applyFont="1" applyBorder="1" applyAlignment="1">
      <alignment vertical="center"/>
    </xf>
    <xf numFmtId="0" fontId="7" fillId="3" borderId="5" xfId="0" applyFont="1" applyFill="1" applyBorder="1" applyAlignment="1">
      <alignment horizontal="center" vertical="center" wrapText="1"/>
    </xf>
    <xf numFmtId="166" fontId="7" fillId="3" borderId="5" xfId="2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2" borderId="1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4" fillId="2" borderId="3" xfId="0" applyFont="1" applyFill="1" applyBorder="1" applyAlignment="1"/>
    <xf numFmtId="0" fontId="5" fillId="3" borderId="5" xfId="0" applyFont="1" applyFill="1" applyBorder="1" applyAlignment="1">
      <alignment horizontal="center" vertical="justify"/>
    </xf>
    <xf numFmtId="0" fontId="6" fillId="3" borderId="4" xfId="0" applyFont="1" applyFill="1" applyBorder="1" applyAlignment="1">
      <alignment horizontal="center" vertical="justify"/>
    </xf>
    <xf numFmtId="0" fontId="6" fillId="3" borderId="4" xfId="0" applyFont="1" applyFill="1" applyBorder="1" applyAlignment="1">
      <alignment horizontal="justify" vertical="justify"/>
    </xf>
    <xf numFmtId="0" fontId="5" fillId="2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justify"/>
    </xf>
    <xf numFmtId="0" fontId="4" fillId="2" borderId="2" xfId="0" applyFont="1" applyFill="1" applyBorder="1" applyAlignment="1"/>
    <xf numFmtId="0" fontId="4" fillId="2" borderId="3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Border="1" applyAlignment="1">
      <alignment horizontal="justify" vertical="justify"/>
    </xf>
    <xf numFmtId="0" fontId="5" fillId="0" borderId="0" xfId="0" applyFont="1" applyBorder="1" applyAlignment="1">
      <alignment horizontal="justify" vertical="top"/>
    </xf>
    <xf numFmtId="165" fontId="5" fillId="0" borderId="0" xfId="1" applyNumberFormat="1" applyFont="1" applyBorder="1" applyAlignment="1">
      <alignment horizontal="justify" vertical="justify"/>
    </xf>
    <xf numFmtId="165" fontId="0" fillId="0" borderId="0" xfId="0" applyNumberFormat="1"/>
    <xf numFmtId="0" fontId="2" fillId="2" borderId="1" xfId="0" applyFont="1" applyFill="1" applyBorder="1" applyAlignment="1"/>
    <xf numFmtId="0" fontId="2" fillId="2" borderId="2" xfId="0" applyFont="1" applyFill="1" applyBorder="1" applyAlignment="1"/>
    <xf numFmtId="0" fontId="3" fillId="2" borderId="5" xfId="0" applyFont="1" applyFill="1" applyBorder="1" applyAlignment="1">
      <alignment horizontal="center"/>
    </xf>
    <xf numFmtId="166" fontId="4" fillId="2" borderId="7" xfId="2" applyNumberFormat="1" applyFont="1" applyFill="1" applyBorder="1" applyAlignment="1"/>
    <xf numFmtId="42" fontId="4" fillId="2" borderId="3" xfId="3" applyFont="1" applyFill="1" applyBorder="1" applyAlignment="1">
      <alignment horizontal="center"/>
    </xf>
    <xf numFmtId="166" fontId="9" fillId="2" borderId="2" xfId="2" applyNumberFormat="1" applyFont="1" applyFill="1" applyBorder="1" applyAlignment="1">
      <alignment horizontal="center"/>
    </xf>
    <xf numFmtId="0" fontId="0" fillId="0" borderId="5" xfId="0" applyBorder="1" applyAlignment="1">
      <alignment horizontal="center" vertical="justify"/>
    </xf>
    <xf numFmtId="0" fontId="16" fillId="2" borderId="2" xfId="0" applyFont="1" applyFill="1" applyBorder="1" applyAlignment="1"/>
    <xf numFmtId="166" fontId="16" fillId="2" borderId="7" xfId="2" applyNumberFormat="1" applyFont="1" applyFill="1" applyBorder="1" applyAlignment="1"/>
    <xf numFmtId="0" fontId="3" fillId="2" borderId="3" xfId="0" applyFont="1" applyFill="1" applyBorder="1" applyAlignment="1">
      <alignment horizontal="center"/>
    </xf>
    <xf numFmtId="165" fontId="0" fillId="0" borderId="5" xfId="1" applyNumberFormat="1" applyFont="1" applyBorder="1"/>
    <xf numFmtId="0" fontId="6" fillId="0" borderId="5" xfId="0" applyFont="1" applyBorder="1" applyAlignment="1">
      <alignment horizontal="justify" vertical="top"/>
    </xf>
    <xf numFmtId="0" fontId="6" fillId="0" borderId="5" xfId="0" applyFont="1" applyBorder="1" applyAlignment="1">
      <alignment horizontal="center" vertical="justify"/>
    </xf>
    <xf numFmtId="0" fontId="6" fillId="0" borderId="5" xfId="0" applyFont="1" applyBorder="1" applyAlignment="1">
      <alignment horizontal="justify" vertical="justify"/>
    </xf>
    <xf numFmtId="165" fontId="6" fillId="0" borderId="5" xfId="1" applyNumberFormat="1" applyFont="1" applyBorder="1" applyAlignment="1">
      <alignment horizontal="justify" vertical="justify"/>
    </xf>
    <xf numFmtId="0" fontId="6" fillId="0" borderId="5" xfId="0" applyFont="1" applyFill="1" applyBorder="1" applyAlignment="1">
      <alignment horizontal="justify" vertical="justify"/>
    </xf>
    <xf numFmtId="166" fontId="2" fillId="2" borderId="7" xfId="2" applyNumberFormat="1" applyFont="1" applyFill="1" applyBorder="1" applyAlignment="1"/>
    <xf numFmtId="0" fontId="2" fillId="2" borderId="8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justify" vertical="justify"/>
    </xf>
    <xf numFmtId="0" fontId="2" fillId="2" borderId="2" xfId="0" applyFont="1" applyFill="1" applyBorder="1" applyAlignment="1">
      <alignment vertical="justify"/>
    </xf>
    <xf numFmtId="166" fontId="2" fillId="2" borderId="7" xfId="2" applyNumberFormat="1" applyFont="1" applyFill="1" applyBorder="1" applyAlignment="1">
      <alignment vertical="justify"/>
    </xf>
    <xf numFmtId="0" fontId="0" fillId="0" borderId="0" xfId="0" applyAlignment="1">
      <alignment horizontal="justify" vertical="justify"/>
    </xf>
    <xf numFmtId="165" fontId="0" fillId="0" borderId="0" xfId="0" applyNumberFormat="1" applyAlignment="1">
      <alignment horizontal="justify" vertical="justify"/>
    </xf>
    <xf numFmtId="0" fontId="8" fillId="0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6" fillId="2" borderId="1" xfId="0" applyFont="1" applyFill="1" applyBorder="1" applyAlignment="1"/>
    <xf numFmtId="165" fontId="8" fillId="0" borderId="5" xfId="1" applyNumberFormat="1" applyFont="1" applyFill="1" applyBorder="1" applyAlignment="1">
      <alignment horizontal="center" vertical="center" wrapText="1"/>
    </xf>
    <xf numFmtId="165" fontId="0" fillId="0" borderId="0" xfId="1" applyNumberFormat="1" applyFont="1"/>
    <xf numFmtId="0" fontId="17" fillId="0" borderId="5" xfId="0" applyFont="1" applyBorder="1"/>
    <xf numFmtId="165" fontId="17" fillId="0" borderId="5" xfId="1" applyNumberFormat="1" applyFont="1" applyBorder="1"/>
    <xf numFmtId="165" fontId="3" fillId="2" borderId="3" xfId="1" applyNumberFormat="1" applyFont="1" applyFill="1" applyBorder="1" applyAlignment="1">
      <alignment horizontal="justify" vertical="justify"/>
    </xf>
    <xf numFmtId="165" fontId="7" fillId="3" borderId="4" xfId="1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0" fontId="2" fillId="2" borderId="7" xfId="0" applyFont="1" applyFill="1" applyBorder="1" applyAlignment="1">
      <alignment vertical="top"/>
    </xf>
    <xf numFmtId="0" fontId="7" fillId="3" borderId="6" xfId="0" applyFont="1" applyFill="1" applyBorder="1" applyAlignment="1">
      <alignment horizontal="center" vertical="center" wrapText="1"/>
    </xf>
    <xf numFmtId="165" fontId="17" fillId="0" borderId="0" xfId="1" applyNumberFormat="1" applyFont="1"/>
    <xf numFmtId="0" fontId="17" fillId="0" borderId="0" xfId="0" applyFont="1"/>
    <xf numFmtId="9" fontId="0" fillId="0" borderId="0" xfId="0" applyNumberFormat="1"/>
    <xf numFmtId="0" fontId="2" fillId="2" borderId="7" xfId="0" applyFont="1" applyFill="1" applyBorder="1" applyAlignment="1"/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7" xfId="0" applyFont="1" applyFill="1" applyBorder="1" applyAlignment="1"/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64" fontId="8" fillId="0" borderId="5" xfId="4" applyFont="1" applyFill="1" applyBorder="1" applyAlignment="1">
      <alignment horizontal="center" vertical="center" wrapText="1"/>
    </xf>
    <xf numFmtId="0" fontId="15" fillId="0" borderId="2" xfId="0" applyFont="1" applyFill="1" applyBorder="1" applyAlignment="1"/>
    <xf numFmtId="0" fontId="8" fillId="0" borderId="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165" fontId="8" fillId="0" borderId="5" xfId="1" applyNumberFormat="1" applyFont="1" applyBorder="1" applyAlignment="1">
      <alignment horizontal="center" vertical="center"/>
    </xf>
    <xf numFmtId="167" fontId="0" fillId="0" borderId="0" xfId="1" applyNumberFormat="1" applyFont="1"/>
    <xf numFmtId="0" fontId="8" fillId="0" borderId="9" xfId="0" applyFont="1" applyFill="1" applyBorder="1" applyAlignment="1">
      <alignment horizontal="center" vertical="center" wrapText="1"/>
    </xf>
    <xf numFmtId="165" fontId="0" fillId="0" borderId="0" xfId="1" applyNumberFormat="1" applyFont="1" applyBorder="1"/>
    <xf numFmtId="166" fontId="8" fillId="0" borderId="5" xfId="0" applyNumberFormat="1" applyFont="1" applyFill="1" applyBorder="1" applyAlignment="1">
      <alignment horizontal="center" vertical="center" wrapText="1"/>
    </xf>
    <xf numFmtId="165" fontId="8" fillId="0" borderId="5" xfId="0" applyNumberFormat="1" applyFont="1" applyFill="1" applyBorder="1" applyAlignment="1">
      <alignment horizontal="center" vertical="center" wrapText="1"/>
    </xf>
    <xf numFmtId="166" fontId="17" fillId="0" borderId="5" xfId="2" applyNumberFormat="1" applyFont="1" applyBorder="1" applyAlignment="1">
      <alignment horizontal="justify" vertical="justify"/>
    </xf>
    <xf numFmtId="0" fontId="14" fillId="4" borderId="1" xfId="0" applyFont="1" applyFill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166" fontId="7" fillId="2" borderId="2" xfId="2" applyNumberFormat="1" applyFont="1" applyFill="1" applyBorder="1" applyAlignment="1">
      <alignment horizontal="center"/>
    </xf>
    <xf numFmtId="0" fontId="14" fillId="4" borderId="7" xfId="0" applyFont="1" applyFill="1" applyBorder="1" applyAlignment="1">
      <alignment horizontal="center"/>
    </xf>
    <xf numFmtId="0" fontId="15" fillId="4" borderId="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justify" vertical="justify"/>
    </xf>
    <xf numFmtId="0" fontId="2" fillId="2" borderId="2" xfId="0" applyFont="1" applyFill="1" applyBorder="1" applyAlignment="1">
      <alignment horizontal="justify" vertical="justify"/>
    </xf>
  </cellXfs>
  <cellStyles count="5">
    <cellStyle name="Millares" xfId="1" builtinId="3"/>
    <cellStyle name="Millares [0]" xfId="4" builtinId="6"/>
    <cellStyle name="Moneda" xfId="2" builtinId="4"/>
    <cellStyle name="Moneda [0]" xfId="3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J13"/>
  <sheetViews>
    <sheetView workbookViewId="0">
      <selection activeCell="B4" sqref="B4"/>
    </sheetView>
  </sheetViews>
  <sheetFormatPr baseColWidth="10" defaultRowHeight="15" x14ac:dyDescent="0.25"/>
  <cols>
    <col min="10" max="10" width="15.7109375" customWidth="1"/>
  </cols>
  <sheetData>
    <row r="1" spans="1:10" ht="15.75" x14ac:dyDescent="0.25">
      <c r="A1" s="96" t="s">
        <v>569</v>
      </c>
      <c r="B1" s="97"/>
      <c r="C1" s="98"/>
      <c r="D1" s="98"/>
      <c r="E1" s="98"/>
      <c r="F1" s="98"/>
      <c r="G1" s="98"/>
      <c r="H1" s="98"/>
      <c r="I1" s="98"/>
      <c r="J1" s="98"/>
    </row>
    <row r="2" spans="1:10" x14ac:dyDescent="0.25">
      <c r="A2" s="22"/>
      <c r="B2" s="31" t="s">
        <v>40</v>
      </c>
      <c r="C2" s="23"/>
      <c r="D2" s="23"/>
      <c r="E2" s="23"/>
      <c r="F2" s="23"/>
      <c r="G2" s="23"/>
      <c r="H2" s="24" t="s">
        <v>23</v>
      </c>
      <c r="I2" s="24"/>
      <c r="J2" s="42">
        <v>11440000</v>
      </c>
    </row>
    <row r="3" spans="1:10" ht="33.75" x14ac:dyDescent="0.25">
      <c r="A3" s="25" t="s">
        <v>0</v>
      </c>
      <c r="B3" s="26" t="s">
        <v>24</v>
      </c>
      <c r="C3" s="27" t="s">
        <v>2</v>
      </c>
      <c r="D3" s="26" t="s">
        <v>25</v>
      </c>
      <c r="E3" s="26" t="s">
        <v>3</v>
      </c>
      <c r="F3" s="26" t="s">
        <v>5</v>
      </c>
      <c r="G3" s="26" t="s">
        <v>26</v>
      </c>
      <c r="H3" s="26" t="s">
        <v>27</v>
      </c>
      <c r="I3" s="26" t="s">
        <v>28</v>
      </c>
      <c r="J3" s="26" t="s">
        <v>6</v>
      </c>
    </row>
    <row r="4" spans="1:10" ht="114.75" x14ac:dyDescent="0.25">
      <c r="A4" s="83">
        <v>1</v>
      </c>
      <c r="B4" s="83" t="s">
        <v>29</v>
      </c>
      <c r="C4" s="83" t="s">
        <v>30</v>
      </c>
      <c r="D4" s="83">
        <v>1</v>
      </c>
      <c r="E4" s="85" t="s">
        <v>7</v>
      </c>
      <c r="F4" s="85">
        <v>11440000</v>
      </c>
      <c r="G4" s="85">
        <v>11440000</v>
      </c>
      <c r="H4" s="83" t="s">
        <v>31</v>
      </c>
      <c r="I4" s="83" t="s">
        <v>32</v>
      </c>
      <c r="J4" s="83" t="s">
        <v>33</v>
      </c>
    </row>
    <row r="5" spans="1:10" x14ac:dyDescent="0.25">
      <c r="A5" s="83"/>
      <c r="B5" s="83" t="s">
        <v>34</v>
      </c>
      <c r="C5" s="83"/>
      <c r="D5" s="83"/>
      <c r="E5" s="85"/>
      <c r="F5" s="85" t="s">
        <v>10</v>
      </c>
      <c r="G5" s="85">
        <f>G4</f>
        <v>11440000</v>
      </c>
      <c r="H5" s="83"/>
      <c r="I5" s="83"/>
      <c r="J5" s="83"/>
    </row>
    <row r="6" spans="1:10" x14ac:dyDescent="0.25">
      <c r="A6" s="21"/>
      <c r="B6" s="21"/>
      <c r="C6" s="21"/>
      <c r="D6" s="21"/>
      <c r="E6" s="21"/>
      <c r="F6" s="21"/>
      <c r="G6" s="21"/>
      <c r="H6" s="21"/>
      <c r="I6" s="21"/>
      <c r="J6" s="21"/>
    </row>
    <row r="7" spans="1:10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</row>
    <row r="8" spans="1:10" x14ac:dyDescent="0.25">
      <c r="A8" s="21"/>
      <c r="B8" s="21"/>
      <c r="C8" s="21"/>
      <c r="D8" s="21"/>
      <c r="E8" s="21"/>
      <c r="F8" s="21"/>
      <c r="G8" s="21"/>
      <c r="H8" s="21"/>
      <c r="I8" s="21"/>
      <c r="J8" s="21"/>
    </row>
    <row r="9" spans="1:10" ht="15.75" x14ac:dyDescent="0.25">
      <c r="A9" s="96" t="s">
        <v>569</v>
      </c>
      <c r="B9" s="97"/>
      <c r="C9" s="98"/>
      <c r="D9" s="98"/>
      <c r="E9" s="98"/>
      <c r="F9" s="98"/>
      <c r="G9" s="98"/>
      <c r="H9" s="98"/>
      <c r="I9" s="98"/>
      <c r="J9" s="98"/>
    </row>
    <row r="10" spans="1:10" x14ac:dyDescent="0.25">
      <c r="A10" s="22"/>
      <c r="B10" s="32" t="s">
        <v>41</v>
      </c>
      <c r="C10" s="28"/>
      <c r="D10" s="28"/>
      <c r="E10" s="28"/>
      <c r="F10" s="28"/>
      <c r="G10" s="28"/>
      <c r="H10" s="30" t="s">
        <v>39</v>
      </c>
      <c r="I10" s="30"/>
      <c r="J10" s="41">
        <v>6500520</v>
      </c>
    </row>
    <row r="11" spans="1:10" ht="33.75" x14ac:dyDescent="0.25">
      <c r="A11" s="29" t="s">
        <v>0</v>
      </c>
      <c r="B11" s="26" t="s">
        <v>24</v>
      </c>
      <c r="C11" s="27" t="s">
        <v>2</v>
      </c>
      <c r="D11" s="26" t="s">
        <v>25</v>
      </c>
      <c r="E11" s="26" t="s">
        <v>3</v>
      </c>
      <c r="F11" s="26" t="s">
        <v>5</v>
      </c>
      <c r="G11" s="26" t="s">
        <v>26</v>
      </c>
      <c r="H11" s="26" t="s">
        <v>27</v>
      </c>
      <c r="I11" s="26" t="s">
        <v>28</v>
      </c>
      <c r="J11" s="26" t="s">
        <v>6</v>
      </c>
    </row>
    <row r="12" spans="1:10" ht="76.5" x14ac:dyDescent="0.25">
      <c r="A12" s="83">
        <v>1</v>
      </c>
      <c r="B12" s="83" t="s">
        <v>35</v>
      </c>
      <c r="C12" s="83" t="s">
        <v>36</v>
      </c>
      <c r="D12" s="83">
        <v>1</v>
      </c>
      <c r="E12" s="83" t="s">
        <v>7</v>
      </c>
      <c r="F12" s="85">
        <v>6500520</v>
      </c>
      <c r="G12" s="85">
        <v>6500520</v>
      </c>
      <c r="H12" s="83" t="s">
        <v>37</v>
      </c>
      <c r="I12" s="83" t="s">
        <v>32</v>
      </c>
      <c r="J12" s="83" t="s">
        <v>38</v>
      </c>
    </row>
    <row r="13" spans="1:10" x14ac:dyDescent="0.25">
      <c r="A13" s="83" t="s">
        <v>10</v>
      </c>
      <c r="B13" s="83" t="s">
        <v>34</v>
      </c>
      <c r="C13" s="83"/>
      <c r="D13" s="83"/>
      <c r="E13" s="83"/>
      <c r="F13" s="85" t="s">
        <v>10</v>
      </c>
      <c r="G13" s="85">
        <f>G12</f>
        <v>6500520</v>
      </c>
      <c r="H13" s="83"/>
      <c r="I13" s="83"/>
      <c r="J13" s="83"/>
    </row>
  </sheetData>
  <mergeCells count="2">
    <mergeCell ref="A1:J1"/>
    <mergeCell ref="A9:J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83"/>
  <sheetViews>
    <sheetView workbookViewId="0">
      <selection activeCell="I91" sqref="I91"/>
    </sheetView>
  </sheetViews>
  <sheetFormatPr baseColWidth="10" defaultRowHeight="15" x14ac:dyDescent="0.25"/>
  <cols>
    <col min="2" max="2" width="16.85546875" customWidth="1"/>
    <col min="3" max="3" width="19.7109375" customWidth="1"/>
    <col min="6" max="6" width="11.5703125" bestFit="1" customWidth="1"/>
    <col min="7" max="7" width="15.5703125" bestFit="1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55" t="s">
        <v>527</v>
      </c>
      <c r="B2" s="56"/>
      <c r="C2" s="56"/>
      <c r="D2" s="47"/>
      <c r="E2" s="47"/>
      <c r="F2" s="47"/>
      <c r="G2" s="47"/>
      <c r="H2" s="47"/>
      <c r="I2" s="39" t="s">
        <v>23</v>
      </c>
      <c r="J2" s="39"/>
      <c r="K2" s="54">
        <v>40000000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38.25" x14ac:dyDescent="0.25">
      <c r="A4" s="62">
        <v>1</v>
      </c>
      <c r="B4" s="62" t="s">
        <v>528</v>
      </c>
      <c r="C4" s="62" t="s">
        <v>213</v>
      </c>
      <c r="D4" s="62">
        <v>4</v>
      </c>
      <c r="E4" s="62" t="s">
        <v>13</v>
      </c>
      <c r="F4" s="65">
        <v>157000</v>
      </c>
      <c r="G4" s="65">
        <f t="shared" ref="G4:G6" si="0">D4*F4</f>
        <v>628000</v>
      </c>
      <c r="H4" s="62" t="s">
        <v>332</v>
      </c>
      <c r="I4" s="62" t="s">
        <v>524</v>
      </c>
      <c r="J4" s="62" t="s">
        <v>32</v>
      </c>
      <c r="K4" s="62" t="s">
        <v>525</v>
      </c>
    </row>
    <row r="5" spans="1:11" ht="38.25" x14ac:dyDescent="0.25">
      <c r="A5" s="62">
        <v>2</v>
      </c>
      <c r="B5" s="62" t="s">
        <v>530</v>
      </c>
      <c r="C5" s="62" t="s">
        <v>213</v>
      </c>
      <c r="D5" s="62">
        <v>8</v>
      </c>
      <c r="E5" s="62" t="s">
        <v>13</v>
      </c>
      <c r="F5" s="65">
        <v>429000</v>
      </c>
      <c r="G5" s="65">
        <f t="shared" si="0"/>
        <v>3432000</v>
      </c>
      <c r="H5" s="62" t="s">
        <v>332</v>
      </c>
      <c r="I5" s="62" t="s">
        <v>524</v>
      </c>
      <c r="J5" s="62" t="s">
        <v>32</v>
      </c>
      <c r="K5" s="62" t="s">
        <v>525</v>
      </c>
    </row>
    <row r="6" spans="1:11" ht="38.25" x14ac:dyDescent="0.25">
      <c r="A6" s="62">
        <v>3</v>
      </c>
      <c r="B6" s="62" t="s">
        <v>341</v>
      </c>
      <c r="C6" s="62" t="s">
        <v>213</v>
      </c>
      <c r="D6" s="62">
        <v>3</v>
      </c>
      <c r="E6" s="62" t="s">
        <v>7</v>
      </c>
      <c r="F6" s="65">
        <v>618300</v>
      </c>
      <c r="G6" s="65">
        <f t="shared" si="0"/>
        <v>1854900</v>
      </c>
      <c r="H6" s="62" t="s">
        <v>332</v>
      </c>
      <c r="I6" s="62" t="s">
        <v>524</v>
      </c>
      <c r="J6" s="62" t="s">
        <v>32</v>
      </c>
      <c r="K6" s="62" t="s">
        <v>525</v>
      </c>
    </row>
    <row r="7" spans="1:11" ht="38.25" x14ac:dyDescent="0.25">
      <c r="A7" s="62">
        <v>4</v>
      </c>
      <c r="B7" s="62" t="s">
        <v>343</v>
      </c>
      <c r="C7" s="62" t="s">
        <v>213</v>
      </c>
      <c r="D7" s="62">
        <v>8</v>
      </c>
      <c r="E7" s="62" t="s">
        <v>7</v>
      </c>
      <c r="F7" s="65">
        <v>263250</v>
      </c>
      <c r="G7" s="65">
        <f t="shared" ref="G7:G12" si="1">D7*F7</f>
        <v>2106000</v>
      </c>
      <c r="H7" s="62" t="s">
        <v>332</v>
      </c>
      <c r="I7" s="62" t="s">
        <v>524</v>
      </c>
      <c r="J7" s="62" t="s">
        <v>32</v>
      </c>
      <c r="K7" s="62" t="s">
        <v>525</v>
      </c>
    </row>
    <row r="8" spans="1:11" ht="38.25" x14ac:dyDescent="0.25">
      <c r="A8" s="62">
        <v>5</v>
      </c>
      <c r="B8" s="62" t="s">
        <v>346</v>
      </c>
      <c r="C8" s="62" t="s">
        <v>213</v>
      </c>
      <c r="D8" s="62">
        <v>10</v>
      </c>
      <c r="E8" s="62" t="s">
        <v>7</v>
      </c>
      <c r="F8" s="65">
        <v>668250</v>
      </c>
      <c r="G8" s="65">
        <f t="shared" si="1"/>
        <v>6682500</v>
      </c>
      <c r="H8" s="62" t="s">
        <v>332</v>
      </c>
      <c r="I8" s="62" t="s">
        <v>524</v>
      </c>
      <c r="J8" s="62" t="s">
        <v>32</v>
      </c>
      <c r="K8" s="62" t="s">
        <v>525</v>
      </c>
    </row>
    <row r="9" spans="1:11" ht="38.25" x14ac:dyDescent="0.25">
      <c r="A9" s="62">
        <v>6</v>
      </c>
      <c r="B9" s="62" t="s">
        <v>342</v>
      </c>
      <c r="C9" s="62" t="s">
        <v>213</v>
      </c>
      <c r="D9" s="62">
        <v>4</v>
      </c>
      <c r="E9" s="62" t="s">
        <v>7</v>
      </c>
      <c r="F9" s="65">
        <v>391500</v>
      </c>
      <c r="G9" s="65">
        <f t="shared" si="1"/>
        <v>1566000</v>
      </c>
      <c r="H9" s="62" t="s">
        <v>332</v>
      </c>
      <c r="I9" s="62" t="s">
        <v>524</v>
      </c>
      <c r="J9" s="62" t="s">
        <v>32</v>
      </c>
      <c r="K9" s="62" t="s">
        <v>525</v>
      </c>
    </row>
    <row r="10" spans="1:11" ht="38.25" x14ac:dyDescent="0.25">
      <c r="A10" s="62">
        <v>7</v>
      </c>
      <c r="B10" s="62" t="s">
        <v>344</v>
      </c>
      <c r="C10" s="62" t="s">
        <v>213</v>
      </c>
      <c r="D10" s="62">
        <v>4</v>
      </c>
      <c r="E10" s="62" t="s">
        <v>7</v>
      </c>
      <c r="F10" s="65">
        <v>654750</v>
      </c>
      <c r="G10" s="65">
        <f t="shared" si="1"/>
        <v>2619000</v>
      </c>
      <c r="H10" s="62" t="s">
        <v>332</v>
      </c>
      <c r="I10" s="62" t="s">
        <v>524</v>
      </c>
      <c r="J10" s="62" t="s">
        <v>32</v>
      </c>
      <c r="K10" s="62" t="s">
        <v>525</v>
      </c>
    </row>
    <row r="11" spans="1:11" ht="38.25" x14ac:dyDescent="0.25">
      <c r="A11" s="62">
        <v>8</v>
      </c>
      <c r="B11" s="62" t="s">
        <v>345</v>
      </c>
      <c r="C11" s="62" t="s">
        <v>213</v>
      </c>
      <c r="D11" s="62">
        <v>4</v>
      </c>
      <c r="E11" s="62" t="s">
        <v>7</v>
      </c>
      <c r="F11" s="65">
        <v>270000</v>
      </c>
      <c r="G11" s="65">
        <f t="shared" si="1"/>
        <v>1080000</v>
      </c>
      <c r="H11" s="62" t="s">
        <v>332</v>
      </c>
      <c r="I11" s="62" t="s">
        <v>524</v>
      </c>
      <c r="J11" s="62" t="s">
        <v>32</v>
      </c>
      <c r="K11" s="62" t="s">
        <v>525</v>
      </c>
    </row>
    <row r="12" spans="1:11" ht="38.25" x14ac:dyDescent="0.25">
      <c r="A12" s="62">
        <v>9</v>
      </c>
      <c r="B12" s="62" t="s">
        <v>531</v>
      </c>
      <c r="C12" s="62" t="s">
        <v>213</v>
      </c>
      <c r="D12" s="62">
        <v>4</v>
      </c>
      <c r="E12" s="62" t="s">
        <v>7</v>
      </c>
      <c r="F12" s="65">
        <v>303750</v>
      </c>
      <c r="G12" s="65">
        <f t="shared" si="1"/>
        <v>1215000</v>
      </c>
      <c r="H12" s="62" t="s">
        <v>332</v>
      </c>
      <c r="I12" s="62" t="s">
        <v>524</v>
      </c>
      <c r="J12" s="62" t="s">
        <v>32</v>
      </c>
      <c r="K12" s="62" t="s">
        <v>525</v>
      </c>
    </row>
    <row r="13" spans="1:11" ht="38.25" x14ac:dyDescent="0.25">
      <c r="A13" s="62">
        <v>10</v>
      </c>
      <c r="B13" s="62" t="s">
        <v>529</v>
      </c>
      <c r="C13" s="62" t="s">
        <v>213</v>
      </c>
      <c r="D13" s="62">
        <v>4</v>
      </c>
      <c r="E13" s="62" t="s">
        <v>7</v>
      </c>
      <c r="F13" s="65">
        <v>299700</v>
      </c>
      <c r="G13" s="65">
        <f t="shared" ref="G13" si="2">D13*F13</f>
        <v>1198800</v>
      </c>
      <c r="H13" s="62" t="s">
        <v>332</v>
      </c>
      <c r="I13" s="62" t="s">
        <v>524</v>
      </c>
      <c r="J13" s="62" t="s">
        <v>32</v>
      </c>
      <c r="K13" s="62" t="s">
        <v>525</v>
      </c>
    </row>
    <row r="14" spans="1:11" ht="38.25" x14ac:dyDescent="0.25">
      <c r="A14" s="62">
        <v>11</v>
      </c>
      <c r="B14" s="62" t="s">
        <v>532</v>
      </c>
      <c r="C14" s="62" t="s">
        <v>213</v>
      </c>
      <c r="D14" s="62">
        <v>2</v>
      </c>
      <c r="E14" s="62" t="s">
        <v>7</v>
      </c>
      <c r="F14" s="65">
        <v>756000</v>
      </c>
      <c r="G14" s="65">
        <f>D14*F14</f>
        <v>1512000</v>
      </c>
      <c r="H14" s="62" t="s">
        <v>332</v>
      </c>
      <c r="I14" s="62" t="s">
        <v>524</v>
      </c>
      <c r="J14" s="62" t="s">
        <v>32</v>
      </c>
      <c r="K14" s="62" t="s">
        <v>525</v>
      </c>
    </row>
    <row r="15" spans="1:11" ht="38.25" x14ac:dyDescent="0.25">
      <c r="A15" s="62">
        <v>12</v>
      </c>
      <c r="B15" s="62" t="s">
        <v>331</v>
      </c>
      <c r="C15" s="62" t="s">
        <v>213</v>
      </c>
      <c r="D15" s="62">
        <v>4</v>
      </c>
      <c r="E15" s="62" t="s">
        <v>7</v>
      </c>
      <c r="F15" s="65">
        <v>247000</v>
      </c>
      <c r="G15" s="65">
        <f>D15*F15</f>
        <v>988000</v>
      </c>
      <c r="H15" s="62" t="s">
        <v>332</v>
      </c>
      <c r="I15" s="62" t="s">
        <v>524</v>
      </c>
      <c r="J15" s="62" t="s">
        <v>32</v>
      </c>
      <c r="K15" s="62" t="s">
        <v>525</v>
      </c>
    </row>
    <row r="16" spans="1:11" ht="38.25" x14ac:dyDescent="0.25">
      <c r="A16" s="62">
        <v>13</v>
      </c>
      <c r="B16" s="62" t="s">
        <v>333</v>
      </c>
      <c r="C16" s="62" t="s">
        <v>213</v>
      </c>
      <c r="D16" s="62">
        <v>4</v>
      </c>
      <c r="E16" s="62" t="s">
        <v>7</v>
      </c>
      <c r="F16" s="65">
        <v>185000</v>
      </c>
      <c r="G16" s="65">
        <f t="shared" ref="G16:G61" si="3">D16*F16</f>
        <v>740000</v>
      </c>
      <c r="H16" s="62" t="s">
        <v>332</v>
      </c>
      <c r="I16" s="62" t="s">
        <v>524</v>
      </c>
      <c r="J16" s="62" t="s">
        <v>32</v>
      </c>
      <c r="K16" s="62" t="s">
        <v>525</v>
      </c>
    </row>
    <row r="17" spans="1:11" ht="38.25" x14ac:dyDescent="0.25">
      <c r="A17" s="62">
        <v>14</v>
      </c>
      <c r="B17" s="62" t="s">
        <v>334</v>
      </c>
      <c r="C17" s="62" t="s">
        <v>213</v>
      </c>
      <c r="D17" s="62">
        <v>4</v>
      </c>
      <c r="E17" s="62" t="s">
        <v>7</v>
      </c>
      <c r="F17" s="65">
        <v>228000</v>
      </c>
      <c r="G17" s="65">
        <f t="shared" si="3"/>
        <v>912000</v>
      </c>
      <c r="H17" s="62" t="s">
        <v>332</v>
      </c>
      <c r="I17" s="62" t="s">
        <v>524</v>
      </c>
      <c r="J17" s="62" t="s">
        <v>32</v>
      </c>
      <c r="K17" s="62" t="s">
        <v>525</v>
      </c>
    </row>
    <row r="18" spans="1:11" ht="38.25" x14ac:dyDescent="0.25">
      <c r="A18" s="62">
        <v>15</v>
      </c>
      <c r="B18" s="62" t="s">
        <v>335</v>
      </c>
      <c r="C18" s="62" t="s">
        <v>213</v>
      </c>
      <c r="D18" s="62">
        <v>4</v>
      </c>
      <c r="E18" s="62" t="s">
        <v>7</v>
      </c>
      <c r="F18" s="65">
        <v>200000</v>
      </c>
      <c r="G18" s="65">
        <f t="shared" si="3"/>
        <v>800000</v>
      </c>
      <c r="H18" s="62" t="s">
        <v>332</v>
      </c>
      <c r="I18" s="62" t="s">
        <v>524</v>
      </c>
      <c r="J18" s="62" t="s">
        <v>32</v>
      </c>
      <c r="K18" s="62" t="s">
        <v>525</v>
      </c>
    </row>
    <row r="19" spans="1:11" ht="38.25" x14ac:dyDescent="0.25">
      <c r="A19" s="62">
        <v>16</v>
      </c>
      <c r="B19" s="62" t="s">
        <v>336</v>
      </c>
      <c r="C19" s="62" t="s">
        <v>213</v>
      </c>
      <c r="D19" s="62">
        <v>4</v>
      </c>
      <c r="E19" s="62" t="s">
        <v>7</v>
      </c>
      <c r="F19" s="65">
        <v>250000</v>
      </c>
      <c r="G19" s="65">
        <f t="shared" si="3"/>
        <v>1000000</v>
      </c>
      <c r="H19" s="62" t="s">
        <v>332</v>
      </c>
      <c r="I19" s="62" t="s">
        <v>524</v>
      </c>
      <c r="J19" s="62" t="s">
        <v>32</v>
      </c>
      <c r="K19" s="62" t="s">
        <v>525</v>
      </c>
    </row>
    <row r="20" spans="1:11" ht="38.25" x14ac:dyDescent="0.25">
      <c r="A20" s="62">
        <v>17</v>
      </c>
      <c r="B20" s="62" t="s">
        <v>337</v>
      </c>
      <c r="C20" s="62" t="s">
        <v>213</v>
      </c>
      <c r="D20" s="62">
        <v>2</v>
      </c>
      <c r="E20" s="62" t="s">
        <v>13</v>
      </c>
      <c r="F20" s="65">
        <v>309000</v>
      </c>
      <c r="G20" s="65">
        <f t="shared" si="3"/>
        <v>618000</v>
      </c>
      <c r="H20" s="62" t="s">
        <v>332</v>
      </c>
      <c r="I20" s="62" t="s">
        <v>524</v>
      </c>
      <c r="J20" s="62" t="s">
        <v>32</v>
      </c>
      <c r="K20" s="62" t="s">
        <v>525</v>
      </c>
    </row>
    <row r="21" spans="1:11" ht="38.25" x14ac:dyDescent="0.25">
      <c r="A21" s="62">
        <v>18</v>
      </c>
      <c r="B21" s="62" t="s">
        <v>338</v>
      </c>
      <c r="C21" s="62" t="s">
        <v>213</v>
      </c>
      <c r="D21" s="62">
        <v>4</v>
      </c>
      <c r="E21" s="62" t="s">
        <v>7</v>
      </c>
      <c r="F21" s="65">
        <v>145000</v>
      </c>
      <c r="G21" s="65">
        <f t="shared" si="3"/>
        <v>580000</v>
      </c>
      <c r="H21" s="62" t="s">
        <v>332</v>
      </c>
      <c r="I21" s="62" t="s">
        <v>524</v>
      </c>
      <c r="J21" s="62" t="s">
        <v>32</v>
      </c>
      <c r="K21" s="62" t="s">
        <v>525</v>
      </c>
    </row>
    <row r="22" spans="1:11" ht="38.25" x14ac:dyDescent="0.25">
      <c r="A22" s="62">
        <v>19</v>
      </c>
      <c r="B22" s="62" t="s">
        <v>339</v>
      </c>
      <c r="C22" s="62" t="s">
        <v>213</v>
      </c>
      <c r="D22" s="62">
        <v>4</v>
      </c>
      <c r="E22" s="62" t="s">
        <v>7</v>
      </c>
      <c r="F22" s="65">
        <f>+G22/D22</f>
        <v>169638.75</v>
      </c>
      <c r="G22" s="65">
        <v>678555</v>
      </c>
      <c r="H22" s="62" t="s">
        <v>332</v>
      </c>
      <c r="I22" s="62" t="s">
        <v>524</v>
      </c>
      <c r="J22" s="62" t="s">
        <v>32</v>
      </c>
      <c r="K22" s="62" t="s">
        <v>525</v>
      </c>
    </row>
    <row r="23" spans="1:11" ht="38.25" x14ac:dyDescent="0.25">
      <c r="A23" s="62">
        <v>20</v>
      </c>
      <c r="B23" s="62" t="s">
        <v>340</v>
      </c>
      <c r="C23" s="62" t="s">
        <v>213</v>
      </c>
      <c r="D23" s="62">
        <v>5</v>
      </c>
      <c r="E23" s="62" t="s">
        <v>7</v>
      </c>
      <c r="F23" s="65">
        <v>325000</v>
      </c>
      <c r="G23" s="65">
        <f t="shared" si="3"/>
        <v>1625000</v>
      </c>
      <c r="H23" s="62" t="s">
        <v>332</v>
      </c>
      <c r="I23" s="62" t="s">
        <v>524</v>
      </c>
      <c r="J23" s="62" t="s">
        <v>32</v>
      </c>
      <c r="K23" s="62" t="s">
        <v>525</v>
      </c>
    </row>
    <row r="24" spans="1:11" ht="38.25" x14ac:dyDescent="0.25">
      <c r="A24" s="62">
        <v>21</v>
      </c>
      <c r="B24" s="62" t="s">
        <v>533</v>
      </c>
      <c r="C24" s="62" t="s">
        <v>213</v>
      </c>
      <c r="D24" s="62">
        <v>1</v>
      </c>
      <c r="E24" s="62" t="s">
        <v>7</v>
      </c>
      <c r="F24" s="65">
        <v>382000</v>
      </c>
      <c r="G24" s="65">
        <f t="shared" si="3"/>
        <v>382000</v>
      </c>
      <c r="H24" s="62" t="s">
        <v>332</v>
      </c>
      <c r="I24" s="62" t="s">
        <v>524</v>
      </c>
      <c r="J24" s="62" t="s">
        <v>32</v>
      </c>
      <c r="K24" s="62" t="s">
        <v>525</v>
      </c>
    </row>
    <row r="25" spans="1:11" ht="38.25" x14ac:dyDescent="0.25">
      <c r="A25" s="62">
        <v>22</v>
      </c>
      <c r="B25" s="62" t="s">
        <v>347</v>
      </c>
      <c r="C25" s="62" t="s">
        <v>213</v>
      </c>
      <c r="D25" s="62">
        <v>5</v>
      </c>
      <c r="E25" s="62" t="s">
        <v>7</v>
      </c>
      <c r="F25" s="65">
        <v>8400</v>
      </c>
      <c r="G25" s="65">
        <f t="shared" si="3"/>
        <v>42000</v>
      </c>
      <c r="H25" s="62" t="s">
        <v>332</v>
      </c>
      <c r="I25" s="62" t="s">
        <v>524</v>
      </c>
      <c r="J25" s="62" t="s">
        <v>32</v>
      </c>
      <c r="K25" s="62" t="s">
        <v>525</v>
      </c>
    </row>
    <row r="26" spans="1:11" ht="38.25" x14ac:dyDescent="0.25">
      <c r="A26" s="62">
        <v>23</v>
      </c>
      <c r="B26" s="62" t="s">
        <v>348</v>
      </c>
      <c r="C26" s="62" t="s">
        <v>213</v>
      </c>
      <c r="D26" s="62">
        <v>5</v>
      </c>
      <c r="E26" s="62" t="s">
        <v>7</v>
      </c>
      <c r="F26" s="65">
        <v>15000</v>
      </c>
      <c r="G26" s="65">
        <f t="shared" si="3"/>
        <v>75000</v>
      </c>
      <c r="H26" s="62" t="s">
        <v>332</v>
      </c>
      <c r="I26" s="62" t="s">
        <v>524</v>
      </c>
      <c r="J26" s="62" t="s">
        <v>32</v>
      </c>
      <c r="K26" s="62" t="s">
        <v>525</v>
      </c>
    </row>
    <row r="27" spans="1:11" ht="38.25" x14ac:dyDescent="0.25">
      <c r="A27" s="62">
        <v>24</v>
      </c>
      <c r="B27" s="62" t="s">
        <v>351</v>
      </c>
      <c r="C27" s="62" t="s">
        <v>213</v>
      </c>
      <c r="D27" s="62">
        <v>5</v>
      </c>
      <c r="E27" s="62" t="s">
        <v>352</v>
      </c>
      <c r="F27" s="65">
        <v>12500</v>
      </c>
      <c r="G27" s="65">
        <f t="shared" si="3"/>
        <v>62500</v>
      </c>
      <c r="H27" s="62" t="s">
        <v>332</v>
      </c>
      <c r="I27" s="62" t="s">
        <v>524</v>
      </c>
      <c r="J27" s="62" t="s">
        <v>32</v>
      </c>
      <c r="K27" s="62" t="s">
        <v>525</v>
      </c>
    </row>
    <row r="28" spans="1:11" ht="38.25" x14ac:dyDescent="0.25">
      <c r="A28" s="62">
        <v>25</v>
      </c>
      <c r="B28" s="62" t="s">
        <v>353</v>
      </c>
      <c r="C28" s="62" t="s">
        <v>213</v>
      </c>
      <c r="D28" s="62">
        <v>5</v>
      </c>
      <c r="E28" s="62" t="s">
        <v>352</v>
      </c>
      <c r="F28" s="65">
        <v>23500</v>
      </c>
      <c r="G28" s="65">
        <f t="shared" si="3"/>
        <v>117500</v>
      </c>
      <c r="H28" s="62" t="s">
        <v>332</v>
      </c>
      <c r="I28" s="62" t="s">
        <v>524</v>
      </c>
      <c r="J28" s="62" t="s">
        <v>32</v>
      </c>
      <c r="K28" s="62" t="s">
        <v>525</v>
      </c>
    </row>
    <row r="29" spans="1:11" ht="38.25" x14ac:dyDescent="0.25">
      <c r="A29" s="62">
        <v>26</v>
      </c>
      <c r="B29" s="62" t="s">
        <v>354</v>
      </c>
      <c r="C29" s="62" t="s">
        <v>213</v>
      </c>
      <c r="D29" s="62">
        <v>10</v>
      </c>
      <c r="E29" s="62" t="s">
        <v>352</v>
      </c>
      <c r="F29" s="65">
        <v>6900</v>
      </c>
      <c r="G29" s="65">
        <f t="shared" si="3"/>
        <v>69000</v>
      </c>
      <c r="H29" s="62" t="s">
        <v>332</v>
      </c>
      <c r="I29" s="62" t="s">
        <v>524</v>
      </c>
      <c r="J29" s="62" t="s">
        <v>32</v>
      </c>
      <c r="K29" s="62" t="s">
        <v>525</v>
      </c>
    </row>
    <row r="30" spans="1:11" ht="38.25" x14ac:dyDescent="0.25">
      <c r="A30" s="62">
        <v>27</v>
      </c>
      <c r="B30" s="62" t="s">
        <v>355</v>
      </c>
      <c r="C30" s="62" t="s">
        <v>213</v>
      </c>
      <c r="D30" s="62">
        <v>10</v>
      </c>
      <c r="E30" s="62" t="s">
        <v>7</v>
      </c>
      <c r="F30" s="65">
        <v>7000</v>
      </c>
      <c r="G30" s="65">
        <f t="shared" si="3"/>
        <v>70000</v>
      </c>
      <c r="H30" s="62" t="s">
        <v>332</v>
      </c>
      <c r="I30" s="62" t="s">
        <v>524</v>
      </c>
      <c r="J30" s="62" t="s">
        <v>32</v>
      </c>
      <c r="K30" s="62" t="s">
        <v>525</v>
      </c>
    </row>
    <row r="31" spans="1:11" ht="38.25" x14ac:dyDescent="0.25">
      <c r="A31" s="62">
        <v>28</v>
      </c>
      <c r="B31" s="62" t="s">
        <v>356</v>
      </c>
      <c r="C31" s="62" t="s">
        <v>213</v>
      </c>
      <c r="D31" s="62">
        <v>10</v>
      </c>
      <c r="E31" s="62" t="s">
        <v>243</v>
      </c>
      <c r="F31" s="65">
        <v>6900</v>
      </c>
      <c r="G31" s="65">
        <f t="shared" si="3"/>
        <v>69000</v>
      </c>
      <c r="H31" s="62" t="s">
        <v>332</v>
      </c>
      <c r="I31" s="62" t="s">
        <v>524</v>
      </c>
      <c r="J31" s="62" t="s">
        <v>32</v>
      </c>
      <c r="K31" s="62" t="s">
        <v>525</v>
      </c>
    </row>
    <row r="32" spans="1:11" ht="38.25" x14ac:dyDescent="0.25">
      <c r="A32" s="62">
        <v>29</v>
      </c>
      <c r="B32" s="62" t="s">
        <v>357</v>
      </c>
      <c r="C32" s="62" t="s">
        <v>213</v>
      </c>
      <c r="D32" s="62">
        <v>10</v>
      </c>
      <c r="E32" s="62" t="s">
        <v>243</v>
      </c>
      <c r="F32" s="65">
        <v>8500</v>
      </c>
      <c r="G32" s="65">
        <f t="shared" si="3"/>
        <v>85000</v>
      </c>
      <c r="H32" s="62" t="s">
        <v>332</v>
      </c>
      <c r="I32" s="62" t="s">
        <v>524</v>
      </c>
      <c r="J32" s="62" t="s">
        <v>32</v>
      </c>
      <c r="K32" s="62" t="s">
        <v>525</v>
      </c>
    </row>
    <row r="33" spans="1:11" ht="38.25" x14ac:dyDescent="0.25">
      <c r="A33" s="62">
        <v>30</v>
      </c>
      <c r="B33" s="62" t="s">
        <v>358</v>
      </c>
      <c r="C33" s="62" t="s">
        <v>213</v>
      </c>
      <c r="D33" s="62">
        <v>10</v>
      </c>
      <c r="E33" s="62" t="s">
        <v>243</v>
      </c>
      <c r="F33" s="65">
        <v>6900</v>
      </c>
      <c r="G33" s="65">
        <f t="shared" si="3"/>
        <v>69000</v>
      </c>
      <c r="H33" s="62" t="s">
        <v>332</v>
      </c>
      <c r="I33" s="62" t="s">
        <v>524</v>
      </c>
      <c r="J33" s="62" t="s">
        <v>32</v>
      </c>
      <c r="K33" s="62" t="s">
        <v>525</v>
      </c>
    </row>
    <row r="34" spans="1:11" ht="38.25" x14ac:dyDescent="0.25">
      <c r="A34" s="62">
        <v>31</v>
      </c>
      <c r="B34" s="62" t="s">
        <v>359</v>
      </c>
      <c r="C34" s="62" t="s">
        <v>213</v>
      </c>
      <c r="D34" s="62">
        <v>10</v>
      </c>
      <c r="E34" s="62" t="s">
        <v>243</v>
      </c>
      <c r="F34" s="65">
        <v>9200</v>
      </c>
      <c r="G34" s="65">
        <f t="shared" si="3"/>
        <v>92000</v>
      </c>
      <c r="H34" s="62" t="s">
        <v>332</v>
      </c>
      <c r="I34" s="62" t="s">
        <v>524</v>
      </c>
      <c r="J34" s="62" t="s">
        <v>32</v>
      </c>
      <c r="K34" s="62" t="s">
        <v>525</v>
      </c>
    </row>
    <row r="35" spans="1:11" ht="38.25" x14ac:dyDescent="0.25">
      <c r="A35" s="62">
        <v>32</v>
      </c>
      <c r="B35" s="62" t="s">
        <v>360</v>
      </c>
      <c r="C35" s="62" t="s">
        <v>213</v>
      </c>
      <c r="D35" s="62">
        <v>10</v>
      </c>
      <c r="E35" s="62" t="s">
        <v>352</v>
      </c>
      <c r="F35" s="65">
        <v>9200</v>
      </c>
      <c r="G35" s="65">
        <f t="shared" si="3"/>
        <v>92000</v>
      </c>
      <c r="H35" s="62" t="s">
        <v>332</v>
      </c>
      <c r="I35" s="62" t="s">
        <v>524</v>
      </c>
      <c r="J35" s="62" t="s">
        <v>32</v>
      </c>
      <c r="K35" s="62" t="s">
        <v>525</v>
      </c>
    </row>
    <row r="36" spans="1:11" ht="38.25" x14ac:dyDescent="0.25">
      <c r="A36" s="62">
        <v>33</v>
      </c>
      <c r="B36" s="62" t="s">
        <v>361</v>
      </c>
      <c r="C36" s="62" t="s">
        <v>213</v>
      </c>
      <c r="D36" s="62">
        <v>10</v>
      </c>
      <c r="E36" s="62" t="s">
        <v>7</v>
      </c>
      <c r="F36" s="65">
        <v>8500</v>
      </c>
      <c r="G36" s="65">
        <f t="shared" si="3"/>
        <v>85000</v>
      </c>
      <c r="H36" s="62" t="s">
        <v>332</v>
      </c>
      <c r="I36" s="62" t="s">
        <v>524</v>
      </c>
      <c r="J36" s="62" t="s">
        <v>32</v>
      </c>
      <c r="K36" s="62" t="s">
        <v>525</v>
      </c>
    </row>
    <row r="37" spans="1:11" ht="38.25" x14ac:dyDescent="0.25">
      <c r="A37" s="62">
        <v>34</v>
      </c>
      <c r="B37" s="62" t="s">
        <v>362</v>
      </c>
      <c r="C37" s="62" t="s">
        <v>213</v>
      </c>
      <c r="D37" s="62">
        <v>10</v>
      </c>
      <c r="E37" s="62" t="s">
        <v>7</v>
      </c>
      <c r="F37" s="65">
        <v>8500</v>
      </c>
      <c r="G37" s="65">
        <f t="shared" si="3"/>
        <v>85000</v>
      </c>
      <c r="H37" s="62" t="s">
        <v>332</v>
      </c>
      <c r="I37" s="62" t="s">
        <v>524</v>
      </c>
      <c r="J37" s="62" t="s">
        <v>32</v>
      </c>
      <c r="K37" s="62" t="s">
        <v>525</v>
      </c>
    </row>
    <row r="38" spans="1:11" ht="38.25" x14ac:dyDescent="0.25">
      <c r="A38" s="62">
        <v>35</v>
      </c>
      <c r="B38" s="62" t="s">
        <v>363</v>
      </c>
      <c r="C38" s="62" t="s">
        <v>213</v>
      </c>
      <c r="D38" s="62">
        <v>10</v>
      </c>
      <c r="E38" s="62" t="s">
        <v>7</v>
      </c>
      <c r="F38" s="65">
        <v>14000</v>
      </c>
      <c r="G38" s="65">
        <f t="shared" si="3"/>
        <v>140000</v>
      </c>
      <c r="H38" s="62" t="s">
        <v>332</v>
      </c>
      <c r="I38" s="62" t="s">
        <v>524</v>
      </c>
      <c r="J38" s="62" t="s">
        <v>32</v>
      </c>
      <c r="K38" s="62" t="s">
        <v>525</v>
      </c>
    </row>
    <row r="39" spans="1:11" ht="38.25" x14ac:dyDescent="0.25">
      <c r="A39" s="62">
        <v>36</v>
      </c>
      <c r="B39" s="62" t="s">
        <v>364</v>
      </c>
      <c r="C39" s="62" t="s">
        <v>213</v>
      </c>
      <c r="D39" s="62">
        <v>10</v>
      </c>
      <c r="E39" s="62" t="s">
        <v>7</v>
      </c>
      <c r="F39" s="65">
        <v>17000</v>
      </c>
      <c r="G39" s="65">
        <f t="shared" si="3"/>
        <v>170000</v>
      </c>
      <c r="H39" s="62" t="s">
        <v>332</v>
      </c>
      <c r="I39" s="62" t="s">
        <v>524</v>
      </c>
      <c r="J39" s="62" t="s">
        <v>32</v>
      </c>
      <c r="K39" s="62" t="s">
        <v>525</v>
      </c>
    </row>
    <row r="40" spans="1:11" ht="38.25" x14ac:dyDescent="0.25">
      <c r="A40" s="62">
        <v>37</v>
      </c>
      <c r="B40" s="62" t="s">
        <v>365</v>
      </c>
      <c r="C40" s="62" t="s">
        <v>213</v>
      </c>
      <c r="D40" s="62">
        <v>10</v>
      </c>
      <c r="E40" s="62" t="s">
        <v>7</v>
      </c>
      <c r="F40" s="65">
        <v>13000</v>
      </c>
      <c r="G40" s="65">
        <f t="shared" si="3"/>
        <v>130000</v>
      </c>
      <c r="H40" s="62" t="s">
        <v>332</v>
      </c>
      <c r="I40" s="62" t="s">
        <v>524</v>
      </c>
      <c r="J40" s="62" t="s">
        <v>32</v>
      </c>
      <c r="K40" s="62" t="s">
        <v>525</v>
      </c>
    </row>
    <row r="41" spans="1:11" ht="38.25" x14ac:dyDescent="0.25">
      <c r="A41" s="62">
        <v>38</v>
      </c>
      <c r="B41" s="62" t="s">
        <v>366</v>
      </c>
      <c r="C41" s="62" t="s">
        <v>213</v>
      </c>
      <c r="D41" s="62">
        <v>10</v>
      </c>
      <c r="E41" s="62" t="s">
        <v>7</v>
      </c>
      <c r="F41" s="65">
        <v>13000</v>
      </c>
      <c r="G41" s="65">
        <f t="shared" si="3"/>
        <v>130000</v>
      </c>
      <c r="H41" s="62" t="s">
        <v>332</v>
      </c>
      <c r="I41" s="62" t="s">
        <v>524</v>
      </c>
      <c r="J41" s="62" t="s">
        <v>32</v>
      </c>
      <c r="K41" s="62" t="s">
        <v>525</v>
      </c>
    </row>
    <row r="42" spans="1:11" ht="38.25" x14ac:dyDescent="0.25">
      <c r="A42" s="62">
        <v>39</v>
      </c>
      <c r="B42" s="62" t="s">
        <v>367</v>
      </c>
      <c r="C42" s="62" t="s">
        <v>213</v>
      </c>
      <c r="D42" s="62">
        <v>10</v>
      </c>
      <c r="E42" s="62" t="s">
        <v>7</v>
      </c>
      <c r="F42" s="65">
        <v>14000</v>
      </c>
      <c r="G42" s="65">
        <f t="shared" si="3"/>
        <v>140000</v>
      </c>
      <c r="H42" s="62" t="s">
        <v>332</v>
      </c>
      <c r="I42" s="62" t="s">
        <v>524</v>
      </c>
      <c r="J42" s="62" t="s">
        <v>32</v>
      </c>
      <c r="K42" s="62" t="s">
        <v>525</v>
      </c>
    </row>
    <row r="43" spans="1:11" ht="38.25" x14ac:dyDescent="0.25">
      <c r="A43" s="62">
        <v>40</v>
      </c>
      <c r="B43" s="62" t="s">
        <v>364</v>
      </c>
      <c r="C43" s="62" t="s">
        <v>213</v>
      </c>
      <c r="D43" s="62">
        <v>10</v>
      </c>
      <c r="E43" s="62" t="s">
        <v>7</v>
      </c>
      <c r="F43" s="65">
        <v>17000</v>
      </c>
      <c r="G43" s="65">
        <f t="shared" si="3"/>
        <v>170000</v>
      </c>
      <c r="H43" s="62" t="s">
        <v>332</v>
      </c>
      <c r="I43" s="62" t="s">
        <v>524</v>
      </c>
      <c r="J43" s="62" t="s">
        <v>32</v>
      </c>
      <c r="K43" s="62" t="s">
        <v>525</v>
      </c>
    </row>
    <row r="44" spans="1:11" ht="38.25" x14ac:dyDescent="0.25">
      <c r="A44" s="62">
        <v>41</v>
      </c>
      <c r="B44" s="62" t="s">
        <v>368</v>
      </c>
      <c r="C44" s="62" t="s">
        <v>213</v>
      </c>
      <c r="D44" s="62">
        <v>10</v>
      </c>
      <c r="E44" s="62" t="s">
        <v>7</v>
      </c>
      <c r="F44" s="65">
        <v>15000</v>
      </c>
      <c r="G44" s="65">
        <f t="shared" si="3"/>
        <v>150000</v>
      </c>
      <c r="H44" s="62" t="s">
        <v>332</v>
      </c>
      <c r="I44" s="62" t="s">
        <v>524</v>
      </c>
      <c r="J44" s="62" t="s">
        <v>32</v>
      </c>
      <c r="K44" s="62" t="s">
        <v>525</v>
      </c>
    </row>
    <row r="45" spans="1:11" ht="38.25" x14ac:dyDescent="0.25">
      <c r="A45" s="62">
        <v>42</v>
      </c>
      <c r="B45" s="62" t="s">
        <v>369</v>
      </c>
      <c r="C45" s="62" t="s">
        <v>213</v>
      </c>
      <c r="D45" s="62">
        <v>10</v>
      </c>
      <c r="E45" s="62" t="s">
        <v>7</v>
      </c>
      <c r="F45" s="65">
        <v>14000</v>
      </c>
      <c r="G45" s="65">
        <f t="shared" si="3"/>
        <v>140000</v>
      </c>
      <c r="H45" s="62" t="s">
        <v>332</v>
      </c>
      <c r="I45" s="62" t="s">
        <v>524</v>
      </c>
      <c r="J45" s="62" t="s">
        <v>32</v>
      </c>
      <c r="K45" s="62" t="s">
        <v>525</v>
      </c>
    </row>
    <row r="46" spans="1:11" ht="38.25" x14ac:dyDescent="0.25">
      <c r="A46" s="62">
        <v>43</v>
      </c>
      <c r="B46" s="62" t="s">
        <v>350</v>
      </c>
      <c r="C46" s="62" t="s">
        <v>213</v>
      </c>
      <c r="D46" s="62">
        <v>10</v>
      </c>
      <c r="E46" s="62" t="s">
        <v>7</v>
      </c>
      <c r="F46" s="65">
        <v>14000</v>
      </c>
      <c r="G46" s="65">
        <f t="shared" si="3"/>
        <v>140000</v>
      </c>
      <c r="H46" s="62" t="s">
        <v>332</v>
      </c>
      <c r="I46" s="62" t="s">
        <v>524</v>
      </c>
      <c r="J46" s="62" t="s">
        <v>32</v>
      </c>
      <c r="K46" s="62" t="s">
        <v>525</v>
      </c>
    </row>
    <row r="47" spans="1:11" ht="38.25" x14ac:dyDescent="0.25">
      <c r="A47" s="62">
        <v>44</v>
      </c>
      <c r="B47" s="62" t="s">
        <v>370</v>
      </c>
      <c r="C47" s="62" t="s">
        <v>213</v>
      </c>
      <c r="D47" s="62">
        <v>10</v>
      </c>
      <c r="E47" s="62" t="s">
        <v>7</v>
      </c>
      <c r="F47" s="65">
        <v>8500</v>
      </c>
      <c r="G47" s="65">
        <f t="shared" si="3"/>
        <v>85000</v>
      </c>
      <c r="H47" s="62" t="s">
        <v>332</v>
      </c>
      <c r="I47" s="62" t="s">
        <v>524</v>
      </c>
      <c r="J47" s="62" t="s">
        <v>32</v>
      </c>
      <c r="K47" s="62" t="s">
        <v>525</v>
      </c>
    </row>
    <row r="48" spans="1:11" ht="38.25" x14ac:dyDescent="0.25">
      <c r="A48" s="62">
        <v>45</v>
      </c>
      <c r="B48" s="62" t="s">
        <v>371</v>
      </c>
      <c r="C48" s="62" t="s">
        <v>213</v>
      </c>
      <c r="D48" s="62">
        <v>10</v>
      </c>
      <c r="E48" s="62" t="s">
        <v>7</v>
      </c>
      <c r="F48" s="65">
        <v>9000</v>
      </c>
      <c r="G48" s="65">
        <f t="shared" si="3"/>
        <v>90000</v>
      </c>
      <c r="H48" s="62" t="s">
        <v>332</v>
      </c>
      <c r="I48" s="62" t="s">
        <v>524</v>
      </c>
      <c r="J48" s="62" t="s">
        <v>32</v>
      </c>
      <c r="K48" s="62" t="s">
        <v>525</v>
      </c>
    </row>
    <row r="49" spans="1:11" ht="38.25" x14ac:dyDescent="0.25">
      <c r="A49" s="62">
        <v>46</v>
      </c>
      <c r="B49" s="62" t="s">
        <v>372</v>
      </c>
      <c r="C49" s="62" t="s">
        <v>213</v>
      </c>
      <c r="D49" s="62">
        <v>10</v>
      </c>
      <c r="E49" s="62" t="s">
        <v>7</v>
      </c>
      <c r="F49" s="65">
        <v>9000</v>
      </c>
      <c r="G49" s="65">
        <f t="shared" si="3"/>
        <v>90000</v>
      </c>
      <c r="H49" s="62" t="s">
        <v>332</v>
      </c>
      <c r="I49" s="62" t="s">
        <v>524</v>
      </c>
      <c r="J49" s="62" t="s">
        <v>32</v>
      </c>
      <c r="K49" s="62" t="s">
        <v>525</v>
      </c>
    </row>
    <row r="50" spans="1:11" ht="38.25" x14ac:dyDescent="0.25">
      <c r="A50" s="62">
        <v>47</v>
      </c>
      <c r="B50" s="62" t="s">
        <v>373</v>
      </c>
      <c r="C50" s="62" t="s">
        <v>213</v>
      </c>
      <c r="D50" s="62">
        <v>10</v>
      </c>
      <c r="E50" s="62" t="s">
        <v>7</v>
      </c>
      <c r="F50" s="65">
        <v>9000</v>
      </c>
      <c r="G50" s="65">
        <f t="shared" si="3"/>
        <v>90000</v>
      </c>
      <c r="H50" s="62" t="s">
        <v>332</v>
      </c>
      <c r="I50" s="62" t="s">
        <v>524</v>
      </c>
      <c r="J50" s="62" t="s">
        <v>32</v>
      </c>
      <c r="K50" s="62" t="s">
        <v>525</v>
      </c>
    </row>
    <row r="51" spans="1:11" ht="38.25" x14ac:dyDescent="0.25">
      <c r="A51" s="62">
        <v>48</v>
      </c>
      <c r="B51" s="62" t="s">
        <v>347</v>
      </c>
      <c r="C51" s="62" t="s">
        <v>213</v>
      </c>
      <c r="D51" s="62">
        <v>10</v>
      </c>
      <c r="E51" s="62" t="s">
        <v>7</v>
      </c>
      <c r="F51" s="65">
        <v>9000</v>
      </c>
      <c r="G51" s="65">
        <f t="shared" si="3"/>
        <v>90000</v>
      </c>
      <c r="H51" s="62" t="s">
        <v>332</v>
      </c>
      <c r="I51" s="62" t="s">
        <v>524</v>
      </c>
      <c r="J51" s="62" t="s">
        <v>32</v>
      </c>
      <c r="K51" s="62" t="s">
        <v>525</v>
      </c>
    </row>
    <row r="52" spans="1:11" ht="38.25" x14ac:dyDescent="0.25">
      <c r="A52" s="62">
        <v>49</v>
      </c>
      <c r="B52" s="62" t="s">
        <v>349</v>
      </c>
      <c r="C52" s="62" t="s">
        <v>213</v>
      </c>
      <c r="D52" s="62">
        <v>10</v>
      </c>
      <c r="E52" s="62" t="s">
        <v>7</v>
      </c>
      <c r="F52" s="65">
        <v>9000</v>
      </c>
      <c r="G52" s="65">
        <f t="shared" si="3"/>
        <v>90000</v>
      </c>
      <c r="H52" s="62" t="s">
        <v>332</v>
      </c>
      <c r="I52" s="62" t="s">
        <v>524</v>
      </c>
      <c r="J52" s="62" t="s">
        <v>32</v>
      </c>
      <c r="K52" s="62" t="s">
        <v>525</v>
      </c>
    </row>
    <row r="53" spans="1:11" ht="38.25" x14ac:dyDescent="0.25">
      <c r="A53" s="62">
        <v>50</v>
      </c>
      <c r="B53" s="62" t="s">
        <v>374</v>
      </c>
      <c r="C53" s="62" t="s">
        <v>213</v>
      </c>
      <c r="D53" s="62">
        <v>8</v>
      </c>
      <c r="E53" s="62" t="s">
        <v>7</v>
      </c>
      <c r="F53" s="65">
        <v>6500</v>
      </c>
      <c r="G53" s="65">
        <f t="shared" si="3"/>
        <v>52000</v>
      </c>
      <c r="H53" s="62" t="s">
        <v>332</v>
      </c>
      <c r="I53" s="62" t="s">
        <v>524</v>
      </c>
      <c r="J53" s="62" t="s">
        <v>32</v>
      </c>
      <c r="K53" s="62" t="s">
        <v>525</v>
      </c>
    </row>
    <row r="54" spans="1:11" ht="38.25" x14ac:dyDescent="0.25">
      <c r="A54" s="62">
        <v>51</v>
      </c>
      <c r="B54" s="62" t="s">
        <v>375</v>
      </c>
      <c r="C54" s="62" t="s">
        <v>213</v>
      </c>
      <c r="D54" s="62">
        <v>8</v>
      </c>
      <c r="E54" s="62" t="s">
        <v>7</v>
      </c>
      <c r="F54" s="65">
        <v>6500</v>
      </c>
      <c r="G54" s="65">
        <f t="shared" si="3"/>
        <v>52000</v>
      </c>
      <c r="H54" s="62" t="s">
        <v>332</v>
      </c>
      <c r="I54" s="62" t="s">
        <v>524</v>
      </c>
      <c r="J54" s="62" t="s">
        <v>32</v>
      </c>
      <c r="K54" s="62" t="s">
        <v>525</v>
      </c>
    </row>
    <row r="55" spans="1:11" ht="38.25" x14ac:dyDescent="0.25">
      <c r="A55" s="62">
        <v>52</v>
      </c>
      <c r="B55" s="62" t="s">
        <v>376</v>
      </c>
      <c r="C55" s="62" t="s">
        <v>213</v>
      </c>
      <c r="D55" s="62">
        <v>8</v>
      </c>
      <c r="E55" s="62" t="s">
        <v>7</v>
      </c>
      <c r="F55" s="65">
        <v>7000</v>
      </c>
      <c r="G55" s="65">
        <f t="shared" si="3"/>
        <v>56000</v>
      </c>
      <c r="H55" s="62" t="s">
        <v>332</v>
      </c>
      <c r="I55" s="62" t="s">
        <v>524</v>
      </c>
      <c r="J55" s="62" t="s">
        <v>32</v>
      </c>
      <c r="K55" s="62" t="s">
        <v>525</v>
      </c>
    </row>
    <row r="56" spans="1:11" ht="38.25" x14ac:dyDescent="0.25">
      <c r="A56" s="62">
        <v>53</v>
      </c>
      <c r="B56" s="62" t="s">
        <v>377</v>
      </c>
      <c r="C56" s="62" t="s">
        <v>213</v>
      </c>
      <c r="D56" s="62">
        <v>8</v>
      </c>
      <c r="E56" s="62" t="s">
        <v>7</v>
      </c>
      <c r="F56" s="65">
        <v>7000</v>
      </c>
      <c r="G56" s="65">
        <f t="shared" si="3"/>
        <v>56000</v>
      </c>
      <c r="H56" s="62" t="s">
        <v>332</v>
      </c>
      <c r="I56" s="62" t="s">
        <v>524</v>
      </c>
      <c r="J56" s="62" t="s">
        <v>32</v>
      </c>
      <c r="K56" s="62" t="s">
        <v>525</v>
      </c>
    </row>
    <row r="57" spans="1:11" ht="38.25" x14ac:dyDescent="0.25">
      <c r="A57" s="62">
        <v>54</v>
      </c>
      <c r="B57" s="62" t="s">
        <v>378</v>
      </c>
      <c r="C57" s="62" t="s">
        <v>213</v>
      </c>
      <c r="D57" s="62">
        <v>9</v>
      </c>
      <c r="E57" s="62" t="s">
        <v>7</v>
      </c>
      <c r="F57" s="65">
        <v>7500</v>
      </c>
      <c r="G57" s="65">
        <f t="shared" si="3"/>
        <v>67500</v>
      </c>
      <c r="H57" s="62" t="s">
        <v>332</v>
      </c>
      <c r="I57" s="62" t="s">
        <v>524</v>
      </c>
      <c r="J57" s="62" t="s">
        <v>32</v>
      </c>
      <c r="K57" s="62" t="s">
        <v>525</v>
      </c>
    </row>
    <row r="58" spans="1:11" ht="38.25" x14ac:dyDescent="0.25">
      <c r="A58" s="62">
        <v>55</v>
      </c>
      <c r="B58" s="62" t="s">
        <v>379</v>
      </c>
      <c r="C58" s="62" t="s">
        <v>213</v>
      </c>
      <c r="D58" s="62">
        <v>8</v>
      </c>
      <c r="E58" s="62" t="s">
        <v>7</v>
      </c>
      <c r="F58" s="65">
        <v>6500</v>
      </c>
      <c r="G58" s="65">
        <f t="shared" si="3"/>
        <v>52000</v>
      </c>
      <c r="H58" s="62" t="s">
        <v>332</v>
      </c>
      <c r="I58" s="62" t="s">
        <v>524</v>
      </c>
      <c r="J58" s="62" t="s">
        <v>32</v>
      </c>
      <c r="K58" s="62" t="s">
        <v>525</v>
      </c>
    </row>
    <row r="59" spans="1:11" ht="38.25" x14ac:dyDescent="0.25">
      <c r="A59" s="62">
        <v>56</v>
      </c>
      <c r="B59" s="62" t="s">
        <v>380</v>
      </c>
      <c r="C59" s="62" t="s">
        <v>213</v>
      </c>
      <c r="D59" s="62">
        <v>8</v>
      </c>
      <c r="E59" s="62" t="s">
        <v>7</v>
      </c>
      <c r="F59" s="65">
        <v>7000</v>
      </c>
      <c r="G59" s="65">
        <f t="shared" si="3"/>
        <v>56000</v>
      </c>
      <c r="H59" s="62" t="s">
        <v>332</v>
      </c>
      <c r="I59" s="62" t="s">
        <v>524</v>
      </c>
      <c r="J59" s="62" t="s">
        <v>32</v>
      </c>
      <c r="K59" s="62" t="s">
        <v>525</v>
      </c>
    </row>
    <row r="60" spans="1:11" ht="38.25" x14ac:dyDescent="0.25">
      <c r="A60" s="62">
        <v>57</v>
      </c>
      <c r="B60" s="62" t="s">
        <v>381</v>
      </c>
      <c r="C60" s="62" t="s">
        <v>213</v>
      </c>
      <c r="D60" s="62">
        <v>10</v>
      </c>
      <c r="E60" s="62" t="s">
        <v>7</v>
      </c>
      <c r="F60" s="65">
        <v>7000</v>
      </c>
      <c r="G60" s="65">
        <f t="shared" si="3"/>
        <v>70000</v>
      </c>
      <c r="H60" s="62" t="s">
        <v>332</v>
      </c>
      <c r="I60" s="62" t="s">
        <v>524</v>
      </c>
      <c r="J60" s="62" t="s">
        <v>32</v>
      </c>
      <c r="K60" s="62" t="s">
        <v>525</v>
      </c>
    </row>
    <row r="61" spans="1:11" ht="38.25" x14ac:dyDescent="0.25">
      <c r="A61" s="62">
        <v>58</v>
      </c>
      <c r="B61" s="62" t="s">
        <v>382</v>
      </c>
      <c r="C61" s="62" t="s">
        <v>213</v>
      </c>
      <c r="D61" s="62">
        <v>10</v>
      </c>
      <c r="E61" s="62" t="s">
        <v>7</v>
      </c>
      <c r="F61" s="65">
        <v>9000</v>
      </c>
      <c r="G61" s="65">
        <f t="shared" si="3"/>
        <v>90000</v>
      </c>
      <c r="H61" s="62" t="s">
        <v>332</v>
      </c>
      <c r="I61" s="62" t="s">
        <v>524</v>
      </c>
      <c r="J61" s="62" t="s">
        <v>32</v>
      </c>
      <c r="K61" s="62" t="s">
        <v>525</v>
      </c>
    </row>
    <row r="62" spans="1:11" ht="38.25" x14ac:dyDescent="0.25">
      <c r="A62" s="62">
        <v>59</v>
      </c>
      <c r="B62" s="62" t="s">
        <v>359</v>
      </c>
      <c r="C62" s="62" t="s">
        <v>213</v>
      </c>
      <c r="D62" s="62">
        <v>10</v>
      </c>
      <c r="E62" s="62" t="s">
        <v>7</v>
      </c>
      <c r="F62" s="65">
        <v>6500</v>
      </c>
      <c r="G62" s="65">
        <f t="shared" ref="G62:G79" si="4">D62*F62</f>
        <v>65000</v>
      </c>
      <c r="H62" s="62" t="s">
        <v>332</v>
      </c>
      <c r="I62" s="62" t="s">
        <v>524</v>
      </c>
      <c r="J62" s="62" t="s">
        <v>32</v>
      </c>
      <c r="K62" s="62" t="s">
        <v>525</v>
      </c>
    </row>
    <row r="63" spans="1:11" ht="38.25" x14ac:dyDescent="0.25">
      <c r="A63" s="62">
        <v>60</v>
      </c>
      <c r="B63" s="62" t="s">
        <v>381</v>
      </c>
      <c r="C63" s="62" t="s">
        <v>213</v>
      </c>
      <c r="D63" s="62">
        <v>10</v>
      </c>
      <c r="E63" s="62" t="s">
        <v>7</v>
      </c>
      <c r="F63" s="65">
        <v>6500</v>
      </c>
      <c r="G63" s="65">
        <f t="shared" si="4"/>
        <v>65000</v>
      </c>
      <c r="H63" s="62" t="s">
        <v>332</v>
      </c>
      <c r="I63" s="62" t="s">
        <v>524</v>
      </c>
      <c r="J63" s="62" t="s">
        <v>32</v>
      </c>
      <c r="K63" s="62" t="s">
        <v>525</v>
      </c>
    </row>
    <row r="64" spans="1:11" ht="38.25" x14ac:dyDescent="0.25">
      <c r="A64" s="62">
        <v>61</v>
      </c>
      <c r="B64" s="62" t="s">
        <v>383</v>
      </c>
      <c r="C64" s="62" t="s">
        <v>213</v>
      </c>
      <c r="D64" s="62">
        <v>10</v>
      </c>
      <c r="E64" s="62" t="s">
        <v>7</v>
      </c>
      <c r="F64" s="65">
        <v>6500</v>
      </c>
      <c r="G64" s="65">
        <f t="shared" si="4"/>
        <v>65000</v>
      </c>
      <c r="H64" s="62" t="s">
        <v>332</v>
      </c>
      <c r="I64" s="62" t="s">
        <v>524</v>
      </c>
      <c r="J64" s="62" t="s">
        <v>32</v>
      </c>
      <c r="K64" s="62" t="s">
        <v>525</v>
      </c>
    </row>
    <row r="65" spans="1:11" ht="38.25" x14ac:dyDescent="0.25">
      <c r="A65" s="62">
        <v>62</v>
      </c>
      <c r="B65" s="62" t="s">
        <v>384</v>
      </c>
      <c r="C65" s="62" t="s">
        <v>213</v>
      </c>
      <c r="D65" s="62">
        <v>8</v>
      </c>
      <c r="E65" s="62" t="s">
        <v>7</v>
      </c>
      <c r="F65" s="65">
        <v>6500</v>
      </c>
      <c r="G65" s="65">
        <f t="shared" si="4"/>
        <v>52000</v>
      </c>
      <c r="H65" s="62" t="s">
        <v>332</v>
      </c>
      <c r="I65" s="62" t="s">
        <v>524</v>
      </c>
      <c r="J65" s="62" t="s">
        <v>32</v>
      </c>
      <c r="K65" s="62" t="s">
        <v>525</v>
      </c>
    </row>
    <row r="66" spans="1:11" ht="38.25" x14ac:dyDescent="0.25">
      <c r="A66" s="62">
        <v>63</v>
      </c>
      <c r="B66" s="62" t="s">
        <v>385</v>
      </c>
      <c r="C66" s="62" t="s">
        <v>213</v>
      </c>
      <c r="D66" s="62">
        <v>9</v>
      </c>
      <c r="E66" s="62" t="s">
        <v>7</v>
      </c>
      <c r="F66" s="65">
        <v>6500</v>
      </c>
      <c r="G66" s="65">
        <f t="shared" si="4"/>
        <v>58500</v>
      </c>
      <c r="H66" s="62" t="s">
        <v>332</v>
      </c>
      <c r="I66" s="62" t="s">
        <v>524</v>
      </c>
      <c r="J66" s="62" t="s">
        <v>32</v>
      </c>
      <c r="K66" s="62" t="s">
        <v>525</v>
      </c>
    </row>
    <row r="67" spans="1:11" ht="38.25" x14ac:dyDescent="0.25">
      <c r="A67" s="62">
        <v>64</v>
      </c>
      <c r="B67" s="62" t="s">
        <v>386</v>
      </c>
      <c r="C67" s="62" t="s">
        <v>213</v>
      </c>
      <c r="D67" s="62">
        <v>10</v>
      </c>
      <c r="E67" s="62" t="s">
        <v>7</v>
      </c>
      <c r="F67" s="65">
        <v>6500</v>
      </c>
      <c r="G67" s="65">
        <f t="shared" si="4"/>
        <v>65000</v>
      </c>
      <c r="H67" s="62" t="s">
        <v>332</v>
      </c>
      <c r="I67" s="62" t="s">
        <v>524</v>
      </c>
      <c r="J67" s="62" t="s">
        <v>32</v>
      </c>
      <c r="K67" s="62" t="s">
        <v>525</v>
      </c>
    </row>
    <row r="68" spans="1:11" ht="38.25" x14ac:dyDescent="0.25">
      <c r="A68" s="62">
        <v>65</v>
      </c>
      <c r="B68" s="62" t="s">
        <v>387</v>
      </c>
      <c r="C68" s="62" t="s">
        <v>213</v>
      </c>
      <c r="D68" s="62">
        <v>10</v>
      </c>
      <c r="E68" s="62" t="s">
        <v>7</v>
      </c>
      <c r="F68" s="65">
        <v>6500</v>
      </c>
      <c r="G68" s="65">
        <f t="shared" si="4"/>
        <v>65000</v>
      </c>
      <c r="H68" s="62" t="s">
        <v>332</v>
      </c>
      <c r="I68" s="62" t="s">
        <v>524</v>
      </c>
      <c r="J68" s="62" t="s">
        <v>32</v>
      </c>
      <c r="K68" s="62" t="s">
        <v>525</v>
      </c>
    </row>
    <row r="69" spans="1:11" ht="38.25" x14ac:dyDescent="0.25">
      <c r="A69" s="62">
        <v>66</v>
      </c>
      <c r="B69" s="62" t="s">
        <v>388</v>
      </c>
      <c r="C69" s="62" t="s">
        <v>213</v>
      </c>
      <c r="D69" s="62">
        <v>3</v>
      </c>
      <c r="E69" s="62" t="s">
        <v>7</v>
      </c>
      <c r="F69" s="65">
        <v>56700</v>
      </c>
      <c r="G69" s="65">
        <f t="shared" si="4"/>
        <v>170100</v>
      </c>
      <c r="H69" s="62" t="s">
        <v>332</v>
      </c>
      <c r="I69" s="62" t="s">
        <v>524</v>
      </c>
      <c r="J69" s="62" t="s">
        <v>32</v>
      </c>
      <c r="K69" s="62" t="s">
        <v>525</v>
      </c>
    </row>
    <row r="70" spans="1:11" ht="38.25" x14ac:dyDescent="0.25">
      <c r="A70" s="62">
        <v>67</v>
      </c>
      <c r="B70" s="62" t="s">
        <v>389</v>
      </c>
      <c r="C70" s="62" t="s">
        <v>213</v>
      </c>
      <c r="D70" s="62">
        <v>3</v>
      </c>
      <c r="E70" s="62" t="s">
        <v>7</v>
      </c>
      <c r="F70" s="65">
        <v>79650</v>
      </c>
      <c r="G70" s="65">
        <f t="shared" si="4"/>
        <v>238950</v>
      </c>
      <c r="H70" s="62" t="s">
        <v>332</v>
      </c>
      <c r="I70" s="62" t="s">
        <v>524</v>
      </c>
      <c r="J70" s="62" t="s">
        <v>32</v>
      </c>
      <c r="K70" s="62" t="s">
        <v>525</v>
      </c>
    </row>
    <row r="71" spans="1:11" ht="38.25" x14ac:dyDescent="0.25">
      <c r="A71" s="62">
        <v>68</v>
      </c>
      <c r="B71" s="62" t="s">
        <v>390</v>
      </c>
      <c r="C71" s="62" t="s">
        <v>213</v>
      </c>
      <c r="D71" s="62">
        <v>3</v>
      </c>
      <c r="E71" s="62" t="s">
        <v>7</v>
      </c>
      <c r="F71" s="65">
        <v>51300</v>
      </c>
      <c r="G71" s="65">
        <f t="shared" si="4"/>
        <v>153900</v>
      </c>
      <c r="H71" s="62" t="s">
        <v>332</v>
      </c>
      <c r="I71" s="62" t="s">
        <v>524</v>
      </c>
      <c r="J71" s="62" t="s">
        <v>32</v>
      </c>
      <c r="K71" s="62" t="s">
        <v>525</v>
      </c>
    </row>
    <row r="72" spans="1:11" ht="38.25" x14ac:dyDescent="0.25">
      <c r="A72" s="62">
        <v>69</v>
      </c>
      <c r="B72" s="62" t="s">
        <v>391</v>
      </c>
      <c r="C72" s="62" t="s">
        <v>213</v>
      </c>
      <c r="D72" s="62">
        <v>3</v>
      </c>
      <c r="E72" s="62" t="s">
        <v>7</v>
      </c>
      <c r="F72" s="65">
        <v>119600</v>
      </c>
      <c r="G72" s="65">
        <f t="shared" si="4"/>
        <v>358800</v>
      </c>
      <c r="H72" s="62" t="s">
        <v>332</v>
      </c>
      <c r="I72" s="62" t="s">
        <v>524</v>
      </c>
      <c r="J72" s="62" t="s">
        <v>32</v>
      </c>
      <c r="K72" s="62" t="s">
        <v>525</v>
      </c>
    </row>
    <row r="73" spans="1:11" ht="38.25" x14ac:dyDescent="0.25">
      <c r="A73" s="62">
        <v>70</v>
      </c>
      <c r="B73" s="62" t="s">
        <v>392</v>
      </c>
      <c r="C73" s="62" t="s">
        <v>213</v>
      </c>
      <c r="D73" s="62">
        <v>3</v>
      </c>
      <c r="E73" s="62" t="s">
        <v>7</v>
      </c>
      <c r="F73" s="65">
        <v>84500</v>
      </c>
      <c r="G73" s="65">
        <f t="shared" si="4"/>
        <v>253500</v>
      </c>
      <c r="H73" s="62" t="s">
        <v>332</v>
      </c>
      <c r="I73" s="62" t="s">
        <v>524</v>
      </c>
      <c r="J73" s="62" t="s">
        <v>32</v>
      </c>
      <c r="K73" s="62" t="s">
        <v>525</v>
      </c>
    </row>
    <row r="74" spans="1:11" ht="38.25" x14ac:dyDescent="0.25">
      <c r="A74" s="62">
        <v>71</v>
      </c>
      <c r="B74" s="62" t="s">
        <v>393</v>
      </c>
      <c r="C74" s="62" t="s">
        <v>213</v>
      </c>
      <c r="D74" s="62">
        <v>3</v>
      </c>
      <c r="E74" s="62" t="s">
        <v>7</v>
      </c>
      <c r="F74" s="65">
        <v>119600</v>
      </c>
      <c r="G74" s="65">
        <f t="shared" si="4"/>
        <v>358800</v>
      </c>
      <c r="H74" s="62" t="s">
        <v>332</v>
      </c>
      <c r="I74" s="62" t="s">
        <v>524</v>
      </c>
      <c r="J74" s="62" t="s">
        <v>32</v>
      </c>
      <c r="K74" s="62" t="s">
        <v>525</v>
      </c>
    </row>
    <row r="75" spans="1:11" ht="38.25" x14ac:dyDescent="0.25">
      <c r="A75" s="62">
        <v>72</v>
      </c>
      <c r="B75" s="62" t="s">
        <v>394</v>
      </c>
      <c r="C75" s="62" t="s">
        <v>213</v>
      </c>
      <c r="D75" s="62">
        <v>3</v>
      </c>
      <c r="E75" s="62" t="s">
        <v>7</v>
      </c>
      <c r="F75" s="65">
        <v>94700</v>
      </c>
      <c r="G75" s="65">
        <f t="shared" si="4"/>
        <v>284100</v>
      </c>
      <c r="H75" s="62" t="s">
        <v>332</v>
      </c>
      <c r="I75" s="62" t="s">
        <v>524</v>
      </c>
      <c r="J75" s="62" t="s">
        <v>32</v>
      </c>
      <c r="K75" s="62" t="s">
        <v>525</v>
      </c>
    </row>
    <row r="76" spans="1:11" ht="38.25" x14ac:dyDescent="0.25">
      <c r="A76" s="62">
        <v>73</v>
      </c>
      <c r="B76" s="62" t="s">
        <v>395</v>
      </c>
      <c r="C76" s="62" t="s">
        <v>213</v>
      </c>
      <c r="D76" s="62">
        <v>3</v>
      </c>
      <c r="E76" s="62" t="s">
        <v>7</v>
      </c>
      <c r="F76" s="65">
        <v>180900</v>
      </c>
      <c r="G76" s="65">
        <f t="shared" si="4"/>
        <v>542700</v>
      </c>
      <c r="H76" s="62" t="s">
        <v>332</v>
      </c>
      <c r="I76" s="62" t="s">
        <v>524</v>
      </c>
      <c r="J76" s="62" t="s">
        <v>32</v>
      </c>
      <c r="K76" s="62" t="s">
        <v>525</v>
      </c>
    </row>
    <row r="77" spans="1:11" ht="38.25" x14ac:dyDescent="0.25">
      <c r="A77" s="62">
        <v>74</v>
      </c>
      <c r="B77" s="62" t="s">
        <v>396</v>
      </c>
      <c r="C77" s="62" t="s">
        <v>213</v>
      </c>
      <c r="D77" s="62">
        <v>3</v>
      </c>
      <c r="E77" s="62" t="s">
        <v>7</v>
      </c>
      <c r="F77" s="65">
        <v>151315</v>
      </c>
      <c r="G77" s="65">
        <f t="shared" si="4"/>
        <v>453945</v>
      </c>
      <c r="H77" s="62" t="s">
        <v>332</v>
      </c>
      <c r="I77" s="62" t="s">
        <v>524</v>
      </c>
      <c r="J77" s="62" t="s">
        <v>32</v>
      </c>
      <c r="K77" s="62" t="s">
        <v>525</v>
      </c>
    </row>
    <row r="78" spans="1:11" ht="38.25" x14ac:dyDescent="0.25">
      <c r="A78" s="62">
        <v>75</v>
      </c>
      <c r="B78" s="62" t="s">
        <v>397</v>
      </c>
      <c r="C78" s="62" t="s">
        <v>213</v>
      </c>
      <c r="D78" s="62">
        <v>3</v>
      </c>
      <c r="E78" s="62" t="s">
        <v>7</v>
      </c>
      <c r="F78" s="65">
        <v>74250</v>
      </c>
      <c r="G78" s="65">
        <f t="shared" si="4"/>
        <v>222750</v>
      </c>
      <c r="H78" s="62" t="s">
        <v>332</v>
      </c>
      <c r="I78" s="62" t="s">
        <v>524</v>
      </c>
      <c r="J78" s="62" t="s">
        <v>32</v>
      </c>
      <c r="K78" s="62" t="s">
        <v>525</v>
      </c>
    </row>
    <row r="79" spans="1:11" ht="38.25" x14ac:dyDescent="0.25">
      <c r="A79" s="62">
        <v>76</v>
      </c>
      <c r="B79" s="62" t="s">
        <v>398</v>
      </c>
      <c r="C79" s="62" t="s">
        <v>213</v>
      </c>
      <c r="D79" s="62">
        <v>3</v>
      </c>
      <c r="E79" s="62" t="s">
        <v>7</v>
      </c>
      <c r="F79" s="65">
        <v>299900</v>
      </c>
      <c r="G79" s="65">
        <f t="shared" si="4"/>
        <v>899700</v>
      </c>
      <c r="H79" s="62" t="s">
        <v>332</v>
      </c>
      <c r="I79" s="62" t="s">
        <v>524</v>
      </c>
      <c r="J79" s="62" t="s">
        <v>32</v>
      </c>
      <c r="K79" s="62" t="s">
        <v>525</v>
      </c>
    </row>
    <row r="80" spans="1:11" x14ac:dyDescent="0.25">
      <c r="G80" s="11">
        <f>SUM(G4:G79)</f>
        <v>40000000</v>
      </c>
    </row>
    <row r="83" spans="7:7" x14ac:dyDescent="0.25">
      <c r="G83" s="14"/>
    </row>
  </sheetData>
  <mergeCells count="1">
    <mergeCell ref="A1:K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workbookViewId="0">
      <selection activeCell="L70" sqref="L70"/>
    </sheetView>
  </sheetViews>
  <sheetFormatPr baseColWidth="10" defaultRowHeight="15" x14ac:dyDescent="0.25"/>
  <cols>
    <col min="2" max="2" width="18.42578125" customWidth="1"/>
    <col min="3" max="3" width="20.5703125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64" t="s">
        <v>534</v>
      </c>
      <c r="B2" s="45"/>
      <c r="C2" s="45"/>
      <c r="D2" s="45"/>
      <c r="E2" s="45"/>
      <c r="F2" s="45"/>
      <c r="G2" s="45"/>
      <c r="H2" s="45" t="s">
        <v>91</v>
      </c>
      <c r="I2" s="45"/>
      <c r="J2" s="45"/>
      <c r="K2" s="46">
        <v>30000000</v>
      </c>
    </row>
    <row r="3" spans="1:11" ht="63.75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55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63.75" x14ac:dyDescent="0.25">
      <c r="A4" s="62">
        <v>1</v>
      </c>
      <c r="B4" s="62" t="s">
        <v>399</v>
      </c>
      <c r="C4" s="62" t="s">
        <v>63</v>
      </c>
      <c r="D4" s="62">
        <v>50</v>
      </c>
      <c r="E4" s="62" t="s">
        <v>400</v>
      </c>
      <c r="F4" s="65">
        <f>8500*4.5%+4500</f>
        <v>4882.5</v>
      </c>
      <c r="G4" s="65">
        <f>D4*F4</f>
        <v>244125</v>
      </c>
      <c r="H4" s="62" t="s">
        <v>31</v>
      </c>
      <c r="I4" s="62" t="s">
        <v>524</v>
      </c>
      <c r="J4" s="62" t="s">
        <v>32</v>
      </c>
      <c r="K4" s="62" t="s">
        <v>401</v>
      </c>
    </row>
    <row r="5" spans="1:11" ht="63.75" x14ac:dyDescent="0.25">
      <c r="A5" s="62">
        <v>2</v>
      </c>
      <c r="B5" s="62" t="s">
        <v>402</v>
      </c>
      <c r="C5" s="62" t="s">
        <v>63</v>
      </c>
      <c r="D5" s="62">
        <v>50</v>
      </c>
      <c r="E5" s="62" t="s">
        <v>400</v>
      </c>
      <c r="F5" s="65">
        <f>15000*4.5%+15000</f>
        <v>15675</v>
      </c>
      <c r="G5" s="65">
        <f t="shared" ref="G5:G50" si="0">D5*F5</f>
        <v>783750</v>
      </c>
      <c r="H5" s="62" t="s">
        <v>31</v>
      </c>
      <c r="I5" s="62" t="s">
        <v>524</v>
      </c>
      <c r="J5" s="62" t="s">
        <v>32</v>
      </c>
      <c r="K5" s="62" t="s">
        <v>401</v>
      </c>
    </row>
    <row r="6" spans="1:11" ht="63.75" x14ac:dyDescent="0.25">
      <c r="A6" s="62">
        <v>3</v>
      </c>
      <c r="B6" s="62" t="s">
        <v>403</v>
      </c>
      <c r="C6" s="62" t="s">
        <v>63</v>
      </c>
      <c r="D6" s="62">
        <v>50</v>
      </c>
      <c r="E6" s="62" t="s">
        <v>404</v>
      </c>
      <c r="F6" s="65">
        <f>6500*4.5%+6500</f>
        <v>6792.5</v>
      </c>
      <c r="G6" s="65">
        <f t="shared" si="0"/>
        <v>339625</v>
      </c>
      <c r="H6" s="62" t="s">
        <v>31</v>
      </c>
      <c r="I6" s="62" t="s">
        <v>524</v>
      </c>
      <c r="J6" s="62" t="s">
        <v>32</v>
      </c>
      <c r="K6" s="62" t="s">
        <v>401</v>
      </c>
    </row>
    <row r="7" spans="1:11" ht="63.75" x14ac:dyDescent="0.25">
      <c r="A7" s="62">
        <v>4</v>
      </c>
      <c r="B7" s="62" t="s">
        <v>405</v>
      </c>
      <c r="C7" s="62" t="s">
        <v>63</v>
      </c>
      <c r="D7" s="62">
        <v>50</v>
      </c>
      <c r="E7" s="62" t="s">
        <v>400</v>
      </c>
      <c r="F7" s="65">
        <f>16000*4.5%+16000</f>
        <v>16720</v>
      </c>
      <c r="G7" s="65">
        <f t="shared" si="0"/>
        <v>836000</v>
      </c>
      <c r="H7" s="62" t="s">
        <v>31</v>
      </c>
      <c r="I7" s="62" t="s">
        <v>524</v>
      </c>
      <c r="J7" s="62" t="s">
        <v>32</v>
      </c>
      <c r="K7" s="62" t="s">
        <v>401</v>
      </c>
    </row>
    <row r="8" spans="1:11" ht="63.75" x14ac:dyDescent="0.25">
      <c r="A8" s="62">
        <v>5</v>
      </c>
      <c r="B8" s="62" t="s">
        <v>406</v>
      </c>
      <c r="C8" s="62" t="s">
        <v>63</v>
      </c>
      <c r="D8" s="62">
        <v>50</v>
      </c>
      <c r="E8" s="62" t="s">
        <v>400</v>
      </c>
      <c r="F8" s="65">
        <f>12000*4.5%+12000</f>
        <v>12540</v>
      </c>
      <c r="G8" s="65">
        <f t="shared" si="0"/>
        <v>627000</v>
      </c>
      <c r="H8" s="62" t="s">
        <v>31</v>
      </c>
      <c r="I8" s="62" t="s">
        <v>524</v>
      </c>
      <c r="J8" s="62" t="s">
        <v>32</v>
      </c>
      <c r="K8" s="62" t="s">
        <v>401</v>
      </c>
    </row>
    <row r="9" spans="1:11" ht="63.75" x14ac:dyDescent="0.25">
      <c r="A9" s="62">
        <v>6</v>
      </c>
      <c r="B9" s="62" t="s">
        <v>407</v>
      </c>
      <c r="C9" s="62" t="s">
        <v>63</v>
      </c>
      <c r="D9" s="62">
        <v>30</v>
      </c>
      <c r="E9" s="62" t="s">
        <v>3</v>
      </c>
      <c r="F9" s="65">
        <f>20000*4.5%+20000</f>
        <v>20900</v>
      </c>
      <c r="G9" s="65">
        <f t="shared" si="0"/>
        <v>627000</v>
      </c>
      <c r="H9" s="62" t="s">
        <v>31</v>
      </c>
      <c r="I9" s="62" t="s">
        <v>524</v>
      </c>
      <c r="J9" s="62" t="s">
        <v>32</v>
      </c>
      <c r="K9" s="62" t="s">
        <v>401</v>
      </c>
    </row>
    <row r="10" spans="1:11" ht="63.75" x14ac:dyDescent="0.25">
      <c r="A10" s="62">
        <v>7</v>
      </c>
      <c r="B10" s="62" t="s">
        <v>408</v>
      </c>
      <c r="C10" s="62" t="s">
        <v>63</v>
      </c>
      <c r="D10" s="62">
        <v>30</v>
      </c>
      <c r="E10" s="62" t="s">
        <v>3</v>
      </c>
      <c r="F10" s="65">
        <f>10500*4.5%+10500</f>
        <v>10972.5</v>
      </c>
      <c r="G10" s="65">
        <f t="shared" si="0"/>
        <v>329175</v>
      </c>
      <c r="H10" s="62" t="s">
        <v>31</v>
      </c>
      <c r="I10" s="62" t="s">
        <v>524</v>
      </c>
      <c r="J10" s="62" t="s">
        <v>32</v>
      </c>
      <c r="K10" s="62" t="s">
        <v>401</v>
      </c>
    </row>
    <row r="11" spans="1:11" ht="63.75" x14ac:dyDescent="0.25">
      <c r="A11" s="62">
        <v>8</v>
      </c>
      <c r="B11" s="62" t="s">
        <v>409</v>
      </c>
      <c r="C11" s="62" t="s">
        <v>63</v>
      </c>
      <c r="D11" s="62">
        <v>10</v>
      </c>
      <c r="E11" s="62" t="s">
        <v>216</v>
      </c>
      <c r="F11" s="65">
        <f>150000*4.5%+150000</f>
        <v>156750</v>
      </c>
      <c r="G11" s="65">
        <f t="shared" si="0"/>
        <v>1567500</v>
      </c>
      <c r="H11" s="62" t="s">
        <v>31</v>
      </c>
      <c r="I11" s="62" t="s">
        <v>524</v>
      </c>
      <c r="J11" s="62" t="s">
        <v>32</v>
      </c>
      <c r="K11" s="62" t="s">
        <v>401</v>
      </c>
    </row>
    <row r="12" spans="1:11" ht="63.75" x14ac:dyDescent="0.25">
      <c r="A12" s="62">
        <v>9</v>
      </c>
      <c r="B12" s="62" t="s">
        <v>410</v>
      </c>
      <c r="C12" s="62" t="s">
        <v>63</v>
      </c>
      <c r="D12" s="62">
        <v>30</v>
      </c>
      <c r="E12" s="62" t="s">
        <v>3</v>
      </c>
      <c r="F12" s="65">
        <f>3500*4.5%+3500</f>
        <v>3657.5</v>
      </c>
      <c r="G12" s="65">
        <f t="shared" si="0"/>
        <v>109725</v>
      </c>
      <c r="H12" s="62" t="s">
        <v>31</v>
      </c>
      <c r="I12" s="62" t="s">
        <v>524</v>
      </c>
      <c r="J12" s="62" t="s">
        <v>32</v>
      </c>
      <c r="K12" s="62" t="s">
        <v>401</v>
      </c>
    </row>
    <row r="13" spans="1:11" ht="63.75" x14ac:dyDescent="0.25">
      <c r="A13" s="62">
        <v>10</v>
      </c>
      <c r="B13" s="62" t="s">
        <v>411</v>
      </c>
      <c r="C13" s="62" t="s">
        <v>63</v>
      </c>
      <c r="D13" s="62">
        <v>10</v>
      </c>
      <c r="E13" s="62" t="s">
        <v>3</v>
      </c>
      <c r="F13" s="65">
        <f>400*4.5%+400</f>
        <v>418</v>
      </c>
      <c r="G13" s="65">
        <f t="shared" si="0"/>
        <v>4180</v>
      </c>
      <c r="H13" s="62" t="s">
        <v>31</v>
      </c>
      <c r="I13" s="62" t="s">
        <v>524</v>
      </c>
      <c r="J13" s="62" t="s">
        <v>32</v>
      </c>
      <c r="K13" s="62" t="s">
        <v>401</v>
      </c>
    </row>
    <row r="14" spans="1:11" ht="63.75" x14ac:dyDescent="0.25">
      <c r="A14" s="62">
        <v>11</v>
      </c>
      <c r="B14" s="62" t="s">
        <v>412</v>
      </c>
      <c r="C14" s="62" t="s">
        <v>63</v>
      </c>
      <c r="D14" s="84">
        <v>20</v>
      </c>
      <c r="E14" s="62" t="s">
        <v>3</v>
      </c>
      <c r="F14" s="65">
        <f>8000*4.5%+8000</f>
        <v>8360</v>
      </c>
      <c r="G14" s="65">
        <f t="shared" si="0"/>
        <v>167200</v>
      </c>
      <c r="H14" s="62" t="s">
        <v>31</v>
      </c>
      <c r="I14" s="62" t="s">
        <v>524</v>
      </c>
      <c r="J14" s="62" t="s">
        <v>32</v>
      </c>
      <c r="K14" s="62" t="s">
        <v>401</v>
      </c>
    </row>
    <row r="15" spans="1:11" ht="63.75" x14ac:dyDescent="0.25">
      <c r="A15" s="62">
        <v>12</v>
      </c>
      <c r="B15" s="62" t="s">
        <v>413</v>
      </c>
      <c r="C15" s="62" t="s">
        <v>63</v>
      </c>
      <c r="D15" s="84">
        <v>30</v>
      </c>
      <c r="E15" s="62" t="s">
        <v>400</v>
      </c>
      <c r="F15" s="65">
        <f>15000*4.5%+158000</f>
        <v>158675</v>
      </c>
      <c r="G15" s="65">
        <f t="shared" si="0"/>
        <v>4760250</v>
      </c>
      <c r="H15" s="62" t="s">
        <v>31</v>
      </c>
      <c r="I15" s="62" t="s">
        <v>524</v>
      </c>
      <c r="J15" s="62" t="s">
        <v>32</v>
      </c>
      <c r="K15" s="62" t="s">
        <v>401</v>
      </c>
    </row>
    <row r="16" spans="1:11" ht="63.75" x14ac:dyDescent="0.25">
      <c r="A16" s="62">
        <v>13</v>
      </c>
      <c r="B16" s="62" t="s">
        <v>414</v>
      </c>
      <c r="C16" s="62" t="s">
        <v>63</v>
      </c>
      <c r="D16" s="84">
        <v>10</v>
      </c>
      <c r="E16" s="62" t="s">
        <v>3</v>
      </c>
      <c r="F16" s="65">
        <f>4000*4.5%+4000</f>
        <v>4180</v>
      </c>
      <c r="G16" s="65">
        <f t="shared" si="0"/>
        <v>41800</v>
      </c>
      <c r="H16" s="62" t="s">
        <v>31</v>
      </c>
      <c r="I16" s="62" t="s">
        <v>524</v>
      </c>
      <c r="J16" s="62" t="s">
        <v>32</v>
      </c>
      <c r="K16" s="62" t="s">
        <v>401</v>
      </c>
    </row>
    <row r="17" spans="1:11" ht="63.75" x14ac:dyDescent="0.25">
      <c r="A17" s="62">
        <v>14</v>
      </c>
      <c r="B17" s="62" t="s">
        <v>415</v>
      </c>
      <c r="C17" s="62" t="s">
        <v>63</v>
      </c>
      <c r="D17" s="84">
        <v>10</v>
      </c>
      <c r="E17" s="62" t="s">
        <v>3</v>
      </c>
      <c r="F17" s="65">
        <f>3500*4.5%+3500</f>
        <v>3657.5</v>
      </c>
      <c r="G17" s="65">
        <f t="shared" si="0"/>
        <v>36575</v>
      </c>
      <c r="H17" s="62" t="s">
        <v>31</v>
      </c>
      <c r="I17" s="62" t="s">
        <v>524</v>
      </c>
      <c r="J17" s="62" t="s">
        <v>32</v>
      </c>
      <c r="K17" s="62" t="s">
        <v>401</v>
      </c>
    </row>
    <row r="18" spans="1:11" ht="63.75" x14ac:dyDescent="0.25">
      <c r="A18" s="62">
        <v>15</v>
      </c>
      <c r="B18" s="62" t="s">
        <v>416</v>
      </c>
      <c r="C18" s="62" t="s">
        <v>63</v>
      </c>
      <c r="D18" s="84">
        <v>50</v>
      </c>
      <c r="E18" s="62" t="s">
        <v>3</v>
      </c>
      <c r="F18" s="65">
        <f>2500*4.5%+2500</f>
        <v>2612.5</v>
      </c>
      <c r="G18" s="65">
        <f t="shared" si="0"/>
        <v>130625</v>
      </c>
      <c r="H18" s="62" t="s">
        <v>31</v>
      </c>
      <c r="I18" s="62" t="s">
        <v>524</v>
      </c>
      <c r="J18" s="62" t="s">
        <v>32</v>
      </c>
      <c r="K18" s="62" t="s">
        <v>401</v>
      </c>
    </row>
    <row r="19" spans="1:11" ht="63.75" x14ac:dyDescent="0.25">
      <c r="A19" s="62">
        <v>16</v>
      </c>
      <c r="B19" s="62" t="s">
        <v>417</v>
      </c>
      <c r="C19" s="62" t="s">
        <v>63</v>
      </c>
      <c r="D19" s="84">
        <v>40</v>
      </c>
      <c r="E19" s="62" t="s">
        <v>3</v>
      </c>
      <c r="F19" s="65">
        <f>8000*4.5%+8000</f>
        <v>8360</v>
      </c>
      <c r="G19" s="65">
        <f t="shared" si="0"/>
        <v>334400</v>
      </c>
      <c r="H19" s="62" t="s">
        <v>31</v>
      </c>
      <c r="I19" s="62" t="s">
        <v>524</v>
      </c>
      <c r="J19" s="62" t="s">
        <v>32</v>
      </c>
      <c r="K19" s="62" t="s">
        <v>401</v>
      </c>
    </row>
    <row r="20" spans="1:11" ht="63.75" x14ac:dyDescent="0.25">
      <c r="A20" s="62">
        <v>17</v>
      </c>
      <c r="B20" s="62" t="s">
        <v>418</v>
      </c>
      <c r="C20" s="62" t="s">
        <v>63</v>
      </c>
      <c r="D20" s="84">
        <v>10</v>
      </c>
      <c r="E20" s="62" t="s">
        <v>3</v>
      </c>
      <c r="F20" s="65">
        <f>6500*4.5%+6500</f>
        <v>6792.5</v>
      </c>
      <c r="G20" s="65">
        <f t="shared" si="0"/>
        <v>67925</v>
      </c>
      <c r="H20" s="62" t="s">
        <v>31</v>
      </c>
      <c r="I20" s="62" t="s">
        <v>524</v>
      </c>
      <c r="J20" s="62" t="s">
        <v>32</v>
      </c>
      <c r="K20" s="62" t="s">
        <v>401</v>
      </c>
    </row>
    <row r="21" spans="1:11" ht="63.75" x14ac:dyDescent="0.25">
      <c r="A21" s="62">
        <v>18</v>
      </c>
      <c r="B21" s="62" t="s">
        <v>419</v>
      </c>
      <c r="C21" s="62" t="s">
        <v>63</v>
      </c>
      <c r="D21" s="84">
        <v>50</v>
      </c>
      <c r="E21" s="62" t="s">
        <v>420</v>
      </c>
      <c r="F21" s="65">
        <f>64700*4.5%+64700</f>
        <v>67611.5</v>
      </c>
      <c r="G21" s="65">
        <f t="shared" si="0"/>
        <v>3380575</v>
      </c>
      <c r="H21" s="62" t="s">
        <v>31</v>
      </c>
      <c r="I21" s="62" t="s">
        <v>524</v>
      </c>
      <c r="J21" s="62" t="s">
        <v>32</v>
      </c>
      <c r="K21" s="62" t="s">
        <v>401</v>
      </c>
    </row>
    <row r="22" spans="1:11" ht="63.75" x14ac:dyDescent="0.25">
      <c r="A22" s="62">
        <v>19</v>
      </c>
      <c r="B22" s="62" t="s">
        <v>421</v>
      </c>
      <c r="C22" s="62" t="s">
        <v>63</v>
      </c>
      <c r="D22" s="84">
        <v>10</v>
      </c>
      <c r="E22" s="62" t="s">
        <v>3</v>
      </c>
      <c r="F22" s="65">
        <f>6245*4.5%+9245</f>
        <v>9526.0249999999996</v>
      </c>
      <c r="G22" s="65">
        <f t="shared" si="0"/>
        <v>95260.25</v>
      </c>
      <c r="H22" s="62" t="s">
        <v>31</v>
      </c>
      <c r="I22" s="62" t="s">
        <v>524</v>
      </c>
      <c r="J22" s="62" t="s">
        <v>32</v>
      </c>
      <c r="K22" s="62" t="s">
        <v>401</v>
      </c>
    </row>
    <row r="23" spans="1:11" ht="63.75" x14ac:dyDescent="0.25">
      <c r="A23" s="62">
        <v>20</v>
      </c>
      <c r="B23" s="62" t="s">
        <v>422</v>
      </c>
      <c r="C23" s="62" t="s">
        <v>63</v>
      </c>
      <c r="D23" s="84">
        <v>10</v>
      </c>
      <c r="E23" s="62" t="s">
        <v>3</v>
      </c>
      <c r="F23" s="65">
        <v>5250</v>
      </c>
      <c r="G23" s="65">
        <f t="shared" si="0"/>
        <v>52500</v>
      </c>
      <c r="H23" s="62" t="s">
        <v>31</v>
      </c>
      <c r="I23" s="62" t="s">
        <v>524</v>
      </c>
      <c r="J23" s="62" t="s">
        <v>32</v>
      </c>
      <c r="K23" s="62" t="s">
        <v>401</v>
      </c>
    </row>
    <row r="24" spans="1:11" ht="63.75" x14ac:dyDescent="0.25">
      <c r="A24" s="62">
        <v>21</v>
      </c>
      <c r="B24" s="62" t="s">
        <v>423</v>
      </c>
      <c r="C24" s="62" t="s">
        <v>63</v>
      </c>
      <c r="D24" s="84">
        <v>20</v>
      </c>
      <c r="E24" s="62" t="s">
        <v>3</v>
      </c>
      <c r="F24" s="65">
        <v>8800</v>
      </c>
      <c r="G24" s="65">
        <f t="shared" si="0"/>
        <v>176000</v>
      </c>
      <c r="H24" s="62" t="s">
        <v>31</v>
      </c>
      <c r="I24" s="62" t="s">
        <v>524</v>
      </c>
      <c r="J24" s="62" t="s">
        <v>32</v>
      </c>
      <c r="K24" s="62" t="s">
        <v>401</v>
      </c>
    </row>
    <row r="25" spans="1:11" ht="63.75" x14ac:dyDescent="0.25">
      <c r="A25" s="62">
        <v>22</v>
      </c>
      <c r="B25" s="62" t="s">
        <v>424</v>
      </c>
      <c r="C25" s="62" t="s">
        <v>63</v>
      </c>
      <c r="D25" s="84">
        <v>10</v>
      </c>
      <c r="E25" s="62" t="s">
        <v>425</v>
      </c>
      <c r="F25" s="65">
        <v>6800</v>
      </c>
      <c r="G25" s="65">
        <f t="shared" si="0"/>
        <v>68000</v>
      </c>
      <c r="H25" s="62" t="s">
        <v>31</v>
      </c>
      <c r="I25" s="62" t="s">
        <v>524</v>
      </c>
      <c r="J25" s="62" t="s">
        <v>32</v>
      </c>
      <c r="K25" s="62" t="s">
        <v>401</v>
      </c>
    </row>
    <row r="26" spans="1:11" ht="63.75" x14ac:dyDescent="0.25">
      <c r="A26" s="62">
        <v>23</v>
      </c>
      <c r="B26" s="62" t="s">
        <v>426</v>
      </c>
      <c r="C26" s="62" t="s">
        <v>63</v>
      </c>
      <c r="D26" s="84">
        <v>10</v>
      </c>
      <c r="E26" s="62" t="s">
        <v>425</v>
      </c>
      <c r="F26" s="65">
        <v>6800</v>
      </c>
      <c r="G26" s="65">
        <f t="shared" si="0"/>
        <v>68000</v>
      </c>
      <c r="H26" s="62" t="s">
        <v>31</v>
      </c>
      <c r="I26" s="62" t="s">
        <v>524</v>
      </c>
      <c r="J26" s="62" t="s">
        <v>32</v>
      </c>
      <c r="K26" s="62" t="s">
        <v>401</v>
      </c>
    </row>
    <row r="27" spans="1:11" ht="63.75" x14ac:dyDescent="0.25">
      <c r="A27" s="62">
        <v>24</v>
      </c>
      <c r="B27" s="62" t="s">
        <v>427</v>
      </c>
      <c r="C27" s="62" t="s">
        <v>63</v>
      </c>
      <c r="D27" s="84">
        <v>10</v>
      </c>
      <c r="E27" s="62" t="s">
        <v>246</v>
      </c>
      <c r="F27" s="65">
        <v>4800</v>
      </c>
      <c r="G27" s="65">
        <f t="shared" si="0"/>
        <v>48000</v>
      </c>
      <c r="H27" s="62" t="s">
        <v>31</v>
      </c>
      <c r="I27" s="62" t="s">
        <v>524</v>
      </c>
      <c r="J27" s="62" t="s">
        <v>32</v>
      </c>
      <c r="K27" s="62" t="s">
        <v>401</v>
      </c>
    </row>
    <row r="28" spans="1:11" ht="63.75" x14ac:dyDescent="0.25">
      <c r="A28" s="62">
        <v>25</v>
      </c>
      <c r="B28" s="62" t="s">
        <v>428</v>
      </c>
      <c r="C28" s="62" t="s">
        <v>63</v>
      </c>
      <c r="D28" s="84">
        <v>10</v>
      </c>
      <c r="E28" s="62" t="s">
        <v>246</v>
      </c>
      <c r="F28" s="65">
        <v>8900</v>
      </c>
      <c r="G28" s="65">
        <f t="shared" si="0"/>
        <v>89000</v>
      </c>
      <c r="H28" s="62" t="s">
        <v>31</v>
      </c>
      <c r="I28" s="62" t="s">
        <v>524</v>
      </c>
      <c r="J28" s="62" t="s">
        <v>32</v>
      </c>
      <c r="K28" s="62" t="s">
        <v>401</v>
      </c>
    </row>
    <row r="29" spans="1:11" ht="63.75" x14ac:dyDescent="0.25">
      <c r="A29" s="62">
        <v>26</v>
      </c>
      <c r="B29" s="62" t="s">
        <v>429</v>
      </c>
      <c r="C29" s="62" t="s">
        <v>63</v>
      </c>
      <c r="D29" s="84">
        <v>10</v>
      </c>
      <c r="E29" s="62" t="s">
        <v>3</v>
      </c>
      <c r="F29" s="65">
        <f>11000*4.5%+11000</f>
        <v>11495</v>
      </c>
      <c r="G29" s="65">
        <f t="shared" si="0"/>
        <v>114950</v>
      </c>
      <c r="H29" s="62" t="s">
        <v>31</v>
      </c>
      <c r="I29" s="62" t="s">
        <v>524</v>
      </c>
      <c r="J29" s="62" t="s">
        <v>32</v>
      </c>
      <c r="K29" s="62" t="s">
        <v>401</v>
      </c>
    </row>
    <row r="30" spans="1:11" ht="63.75" x14ac:dyDescent="0.25">
      <c r="A30" s="62">
        <v>27</v>
      </c>
      <c r="B30" s="62" t="s">
        <v>430</v>
      </c>
      <c r="C30" s="62" t="s">
        <v>63</v>
      </c>
      <c r="D30" s="84">
        <v>10</v>
      </c>
      <c r="E30" s="62" t="s">
        <v>3</v>
      </c>
      <c r="F30" s="65">
        <v>2590</v>
      </c>
      <c r="G30" s="65">
        <f t="shared" si="0"/>
        <v>25900</v>
      </c>
      <c r="H30" s="62" t="s">
        <v>31</v>
      </c>
      <c r="I30" s="62" t="s">
        <v>524</v>
      </c>
      <c r="J30" s="62" t="s">
        <v>32</v>
      </c>
      <c r="K30" s="62" t="s">
        <v>401</v>
      </c>
    </row>
    <row r="31" spans="1:11" ht="63.75" x14ac:dyDescent="0.25">
      <c r="A31" s="62">
        <v>28</v>
      </c>
      <c r="B31" s="62" t="s">
        <v>431</v>
      </c>
      <c r="C31" s="62" t="s">
        <v>63</v>
      </c>
      <c r="D31" s="84">
        <v>10</v>
      </c>
      <c r="E31" s="62" t="s">
        <v>3</v>
      </c>
      <c r="F31" s="65">
        <f>+G31/D31</f>
        <v>62982</v>
      </c>
      <c r="G31" s="65">
        <v>629820</v>
      </c>
      <c r="H31" s="62" t="s">
        <v>31</v>
      </c>
      <c r="I31" s="62" t="s">
        <v>524</v>
      </c>
      <c r="J31" s="62" t="s">
        <v>32</v>
      </c>
      <c r="K31" s="62" t="s">
        <v>401</v>
      </c>
    </row>
    <row r="32" spans="1:11" ht="63.75" x14ac:dyDescent="0.25">
      <c r="A32" s="62">
        <v>29</v>
      </c>
      <c r="B32" s="62" t="s">
        <v>432</v>
      </c>
      <c r="C32" s="62" t="s">
        <v>63</v>
      </c>
      <c r="D32" s="84">
        <v>10</v>
      </c>
      <c r="E32" s="62" t="s">
        <v>400</v>
      </c>
      <c r="F32" s="65">
        <v>18500</v>
      </c>
      <c r="G32" s="65">
        <f t="shared" si="0"/>
        <v>185000</v>
      </c>
      <c r="H32" s="62" t="s">
        <v>31</v>
      </c>
      <c r="I32" s="62" t="s">
        <v>524</v>
      </c>
      <c r="J32" s="62" t="s">
        <v>32</v>
      </c>
      <c r="K32" s="62" t="s">
        <v>401</v>
      </c>
    </row>
    <row r="33" spans="1:11" ht="63.75" x14ac:dyDescent="0.25">
      <c r="A33" s="62">
        <v>30</v>
      </c>
      <c r="B33" s="62" t="s">
        <v>433</v>
      </c>
      <c r="C33" s="62" t="s">
        <v>63</v>
      </c>
      <c r="D33" s="84">
        <v>10</v>
      </c>
      <c r="E33" s="62" t="s">
        <v>3</v>
      </c>
      <c r="F33" s="65">
        <f>180000*4.5%+180000</f>
        <v>188100</v>
      </c>
      <c r="G33" s="65">
        <f t="shared" si="0"/>
        <v>1881000</v>
      </c>
      <c r="H33" s="62" t="s">
        <v>31</v>
      </c>
      <c r="I33" s="62" t="s">
        <v>524</v>
      </c>
      <c r="J33" s="62" t="s">
        <v>32</v>
      </c>
      <c r="K33" s="62" t="s">
        <v>401</v>
      </c>
    </row>
    <row r="34" spans="1:11" ht="63.75" x14ac:dyDescent="0.25">
      <c r="A34" s="62">
        <v>31</v>
      </c>
      <c r="B34" s="62" t="s">
        <v>434</v>
      </c>
      <c r="C34" s="62" t="s">
        <v>63</v>
      </c>
      <c r="D34" s="84">
        <v>10</v>
      </c>
      <c r="E34" s="62" t="s">
        <v>3</v>
      </c>
      <c r="F34" s="65">
        <v>2590</v>
      </c>
      <c r="G34" s="65">
        <f t="shared" si="0"/>
        <v>25900</v>
      </c>
      <c r="H34" s="62" t="s">
        <v>31</v>
      </c>
      <c r="I34" s="62" t="s">
        <v>524</v>
      </c>
      <c r="J34" s="62" t="s">
        <v>32</v>
      </c>
      <c r="K34" s="62" t="s">
        <v>401</v>
      </c>
    </row>
    <row r="35" spans="1:11" ht="63.75" x14ac:dyDescent="0.25">
      <c r="A35" s="62">
        <v>32</v>
      </c>
      <c r="B35" s="62" t="s">
        <v>435</v>
      </c>
      <c r="C35" s="62" t="s">
        <v>63</v>
      </c>
      <c r="D35" s="84">
        <v>10</v>
      </c>
      <c r="E35" s="62" t="s">
        <v>3</v>
      </c>
      <c r="F35" s="65">
        <v>16600</v>
      </c>
      <c r="G35" s="65">
        <f t="shared" si="0"/>
        <v>166000</v>
      </c>
      <c r="H35" s="62" t="s">
        <v>31</v>
      </c>
      <c r="I35" s="62" t="s">
        <v>524</v>
      </c>
      <c r="J35" s="62" t="s">
        <v>32</v>
      </c>
      <c r="K35" s="62" t="s">
        <v>401</v>
      </c>
    </row>
    <row r="36" spans="1:11" ht="63.75" x14ac:dyDescent="0.25">
      <c r="A36" s="62">
        <v>33</v>
      </c>
      <c r="B36" s="62" t="s">
        <v>436</v>
      </c>
      <c r="C36" s="62" t="s">
        <v>63</v>
      </c>
      <c r="D36" s="84">
        <v>50</v>
      </c>
      <c r="E36" s="62" t="s">
        <v>420</v>
      </c>
      <c r="F36" s="65">
        <v>29800</v>
      </c>
      <c r="G36" s="65">
        <f t="shared" si="0"/>
        <v>1490000</v>
      </c>
      <c r="H36" s="62" t="s">
        <v>31</v>
      </c>
      <c r="I36" s="62" t="s">
        <v>524</v>
      </c>
      <c r="J36" s="62" t="s">
        <v>32</v>
      </c>
      <c r="K36" s="62" t="s">
        <v>401</v>
      </c>
    </row>
    <row r="37" spans="1:11" ht="63.75" x14ac:dyDescent="0.25">
      <c r="A37" s="62">
        <v>34</v>
      </c>
      <c r="B37" s="62" t="s">
        <v>437</v>
      </c>
      <c r="C37" s="62" t="s">
        <v>63</v>
      </c>
      <c r="D37" s="84">
        <v>50</v>
      </c>
      <c r="E37" s="62" t="s">
        <v>216</v>
      </c>
      <c r="F37" s="65">
        <v>9000</v>
      </c>
      <c r="G37" s="65">
        <f t="shared" si="0"/>
        <v>450000</v>
      </c>
      <c r="H37" s="62" t="s">
        <v>31</v>
      </c>
      <c r="I37" s="62" t="s">
        <v>524</v>
      </c>
      <c r="J37" s="62" t="s">
        <v>32</v>
      </c>
      <c r="K37" s="62" t="s">
        <v>401</v>
      </c>
    </row>
    <row r="38" spans="1:11" ht="63.75" x14ac:dyDescent="0.25">
      <c r="A38" s="62">
        <v>35</v>
      </c>
      <c r="B38" s="62" t="s">
        <v>438</v>
      </c>
      <c r="C38" s="62" t="s">
        <v>63</v>
      </c>
      <c r="D38" s="84">
        <v>50</v>
      </c>
      <c r="E38" s="62" t="s">
        <v>216</v>
      </c>
      <c r="F38" s="65">
        <v>9000</v>
      </c>
      <c r="G38" s="65">
        <f t="shared" si="0"/>
        <v>450000</v>
      </c>
      <c r="H38" s="62" t="s">
        <v>31</v>
      </c>
      <c r="I38" s="62" t="s">
        <v>524</v>
      </c>
      <c r="J38" s="62" t="s">
        <v>32</v>
      </c>
      <c r="K38" s="62" t="s">
        <v>401</v>
      </c>
    </row>
    <row r="39" spans="1:11" ht="63.75" x14ac:dyDescent="0.25">
      <c r="A39" s="62">
        <v>36</v>
      </c>
      <c r="B39" s="62" t="s">
        <v>439</v>
      </c>
      <c r="C39" s="62" t="s">
        <v>63</v>
      </c>
      <c r="D39" s="84">
        <v>10</v>
      </c>
      <c r="E39" s="62" t="s">
        <v>216</v>
      </c>
      <c r="F39" s="65">
        <f>265000*4.5%+265000</f>
        <v>276925</v>
      </c>
      <c r="G39" s="65">
        <f t="shared" si="0"/>
        <v>2769250</v>
      </c>
      <c r="H39" s="62" t="s">
        <v>31</v>
      </c>
      <c r="I39" s="62" t="s">
        <v>524</v>
      </c>
      <c r="J39" s="62" t="s">
        <v>32</v>
      </c>
      <c r="K39" s="62" t="s">
        <v>401</v>
      </c>
    </row>
    <row r="40" spans="1:11" ht="63.75" x14ac:dyDescent="0.25">
      <c r="A40" s="62">
        <v>37</v>
      </c>
      <c r="B40" s="62" t="s">
        <v>440</v>
      </c>
      <c r="C40" s="62" t="s">
        <v>63</v>
      </c>
      <c r="D40" s="84">
        <v>10</v>
      </c>
      <c r="E40" s="62" t="s">
        <v>216</v>
      </c>
      <c r="F40" s="65">
        <f>240000*4.5%+240000</f>
        <v>250800</v>
      </c>
      <c r="G40" s="65">
        <f t="shared" si="0"/>
        <v>2508000</v>
      </c>
      <c r="H40" s="62" t="s">
        <v>31</v>
      </c>
      <c r="I40" s="62" t="s">
        <v>524</v>
      </c>
      <c r="J40" s="62" t="s">
        <v>32</v>
      </c>
      <c r="K40" s="62" t="s">
        <v>401</v>
      </c>
    </row>
    <row r="41" spans="1:11" ht="63.75" x14ac:dyDescent="0.25">
      <c r="A41" s="62">
        <v>38</v>
      </c>
      <c r="B41" s="62" t="s">
        <v>441</v>
      </c>
      <c r="C41" s="62" t="s">
        <v>63</v>
      </c>
      <c r="D41" s="84">
        <v>10</v>
      </c>
      <c r="E41" s="62" t="s">
        <v>3</v>
      </c>
      <c r="F41" s="65">
        <v>73000</v>
      </c>
      <c r="G41" s="65">
        <f t="shared" si="0"/>
        <v>730000</v>
      </c>
      <c r="H41" s="62" t="s">
        <v>31</v>
      </c>
      <c r="I41" s="62" t="s">
        <v>524</v>
      </c>
      <c r="J41" s="62" t="s">
        <v>32</v>
      </c>
      <c r="K41" s="62" t="s">
        <v>401</v>
      </c>
    </row>
    <row r="42" spans="1:11" ht="63.75" x14ac:dyDescent="0.25">
      <c r="A42" s="62">
        <v>39</v>
      </c>
      <c r="B42" s="62" t="s">
        <v>442</v>
      </c>
      <c r="C42" s="62" t="s">
        <v>63</v>
      </c>
      <c r="D42" s="84">
        <v>10</v>
      </c>
      <c r="E42" s="62" t="s">
        <v>3</v>
      </c>
      <c r="F42" s="65">
        <f>155000*4.5%+155000</f>
        <v>161975</v>
      </c>
      <c r="G42" s="65">
        <f t="shared" si="0"/>
        <v>1619750</v>
      </c>
      <c r="H42" s="62" t="s">
        <v>31</v>
      </c>
      <c r="I42" s="62" t="s">
        <v>524</v>
      </c>
      <c r="J42" s="62" t="s">
        <v>32</v>
      </c>
      <c r="K42" s="62" t="s">
        <v>401</v>
      </c>
    </row>
    <row r="43" spans="1:11" ht="63.75" x14ac:dyDescent="0.25">
      <c r="A43" s="62">
        <v>40</v>
      </c>
      <c r="B43" s="62" t="s">
        <v>443</v>
      </c>
      <c r="C43" s="62" t="s">
        <v>63</v>
      </c>
      <c r="D43" s="84">
        <v>10</v>
      </c>
      <c r="E43" s="62" t="s">
        <v>246</v>
      </c>
      <c r="F43" s="65">
        <f>1200*4.5%+1200</f>
        <v>1254</v>
      </c>
      <c r="G43" s="65">
        <f t="shared" si="0"/>
        <v>12540</v>
      </c>
      <c r="H43" s="62" t="s">
        <v>31</v>
      </c>
      <c r="I43" s="62" t="s">
        <v>524</v>
      </c>
      <c r="J43" s="62" t="s">
        <v>32</v>
      </c>
      <c r="K43" s="62" t="s">
        <v>401</v>
      </c>
    </row>
    <row r="44" spans="1:11" ht="63.75" x14ac:dyDescent="0.25">
      <c r="A44" s="62">
        <v>41</v>
      </c>
      <c r="B44" s="62" t="s">
        <v>444</v>
      </c>
      <c r="C44" s="62" t="s">
        <v>63</v>
      </c>
      <c r="D44" s="84">
        <v>10</v>
      </c>
      <c r="E44" s="62" t="s">
        <v>3</v>
      </c>
      <c r="F44" s="65">
        <f>15000*4.5%+15000</f>
        <v>15675</v>
      </c>
      <c r="G44" s="65">
        <f t="shared" si="0"/>
        <v>156750</v>
      </c>
      <c r="H44" s="62" t="s">
        <v>31</v>
      </c>
      <c r="I44" s="62" t="s">
        <v>524</v>
      </c>
      <c r="J44" s="62" t="s">
        <v>32</v>
      </c>
      <c r="K44" s="62" t="s">
        <v>401</v>
      </c>
    </row>
    <row r="45" spans="1:11" ht="63.75" x14ac:dyDescent="0.25">
      <c r="A45" s="62">
        <v>42</v>
      </c>
      <c r="B45" s="62" t="s">
        <v>445</v>
      </c>
      <c r="C45" s="62" t="s">
        <v>63</v>
      </c>
      <c r="D45" s="84">
        <v>2</v>
      </c>
      <c r="E45" s="62" t="s">
        <v>3</v>
      </c>
      <c r="F45" s="65">
        <f>90000*4.5%+90000</f>
        <v>94050</v>
      </c>
      <c r="G45" s="65">
        <f t="shared" si="0"/>
        <v>188100</v>
      </c>
      <c r="H45" s="62" t="s">
        <v>31</v>
      </c>
      <c r="I45" s="62" t="s">
        <v>524</v>
      </c>
      <c r="J45" s="62" t="s">
        <v>32</v>
      </c>
      <c r="K45" s="62" t="s">
        <v>401</v>
      </c>
    </row>
    <row r="46" spans="1:11" ht="63.75" x14ac:dyDescent="0.25">
      <c r="A46" s="62">
        <v>43</v>
      </c>
      <c r="B46" s="62" t="s">
        <v>446</v>
      </c>
      <c r="C46" s="62" t="s">
        <v>63</v>
      </c>
      <c r="D46" s="84">
        <v>10</v>
      </c>
      <c r="E46" s="62" t="s">
        <v>3</v>
      </c>
      <c r="F46" s="65">
        <f>22000*4.5%+22000</f>
        <v>22990</v>
      </c>
      <c r="G46" s="65">
        <f t="shared" si="0"/>
        <v>229900</v>
      </c>
      <c r="H46" s="62" t="s">
        <v>31</v>
      </c>
      <c r="I46" s="62" t="s">
        <v>524</v>
      </c>
      <c r="J46" s="62" t="s">
        <v>32</v>
      </c>
      <c r="K46" s="62" t="s">
        <v>401</v>
      </c>
    </row>
    <row r="47" spans="1:11" ht="63.75" x14ac:dyDescent="0.25">
      <c r="A47" s="62">
        <v>44</v>
      </c>
      <c r="B47" s="62" t="s">
        <v>447</v>
      </c>
      <c r="C47" s="62" t="s">
        <v>63</v>
      </c>
      <c r="D47" s="84">
        <v>2</v>
      </c>
      <c r="E47" s="62" t="s">
        <v>3</v>
      </c>
      <c r="F47" s="65">
        <f>60000*4.5%+600000</f>
        <v>602700</v>
      </c>
      <c r="G47" s="65">
        <f t="shared" si="0"/>
        <v>1205400</v>
      </c>
      <c r="H47" s="62" t="s">
        <v>31</v>
      </c>
      <c r="I47" s="62" t="s">
        <v>524</v>
      </c>
      <c r="J47" s="62" t="s">
        <v>32</v>
      </c>
      <c r="K47" s="62" t="s">
        <v>401</v>
      </c>
    </row>
    <row r="48" spans="1:11" ht="63.75" x14ac:dyDescent="0.25">
      <c r="A48" s="62">
        <v>45</v>
      </c>
      <c r="B48" s="62" t="s">
        <v>448</v>
      </c>
      <c r="C48" s="62" t="s">
        <v>63</v>
      </c>
      <c r="D48" s="84">
        <v>10</v>
      </c>
      <c r="E48" s="62" t="s">
        <v>3</v>
      </c>
      <c r="F48" s="65">
        <v>2090</v>
      </c>
      <c r="G48" s="65">
        <f t="shared" si="0"/>
        <v>20900</v>
      </c>
      <c r="H48" s="62" t="s">
        <v>31</v>
      </c>
      <c r="I48" s="62" t="s">
        <v>524</v>
      </c>
      <c r="J48" s="62" t="s">
        <v>32</v>
      </c>
      <c r="K48" s="62" t="s">
        <v>401</v>
      </c>
    </row>
    <row r="49" spans="1:11" ht="63.75" x14ac:dyDescent="0.25">
      <c r="A49" s="62">
        <v>46</v>
      </c>
      <c r="B49" s="62" t="s">
        <v>449</v>
      </c>
      <c r="C49" s="62" t="s">
        <v>63</v>
      </c>
      <c r="D49" s="84">
        <v>10</v>
      </c>
      <c r="E49" s="62" t="s">
        <v>3</v>
      </c>
      <c r="F49" s="65">
        <v>4165</v>
      </c>
      <c r="G49" s="65">
        <f t="shared" si="0"/>
        <v>41650</v>
      </c>
      <c r="H49" s="62" t="s">
        <v>31</v>
      </c>
      <c r="I49" s="62" t="s">
        <v>524</v>
      </c>
      <c r="J49" s="62" t="s">
        <v>32</v>
      </c>
      <c r="K49" s="62" t="s">
        <v>401</v>
      </c>
    </row>
    <row r="50" spans="1:11" ht="63.75" x14ac:dyDescent="0.25">
      <c r="A50" s="62">
        <v>47</v>
      </c>
      <c r="B50" s="62" t="s">
        <v>450</v>
      </c>
      <c r="C50" s="62" t="s">
        <v>63</v>
      </c>
      <c r="D50" s="84">
        <v>10</v>
      </c>
      <c r="E50" s="62" t="s">
        <v>3</v>
      </c>
      <c r="F50" s="65">
        <v>11500</v>
      </c>
      <c r="G50" s="65">
        <f t="shared" si="0"/>
        <v>115000</v>
      </c>
      <c r="H50" s="62" t="s">
        <v>31</v>
      </c>
      <c r="I50" s="62" t="s">
        <v>524</v>
      </c>
      <c r="J50" s="62" t="s">
        <v>32</v>
      </c>
      <c r="K50" s="62" t="s">
        <v>401</v>
      </c>
    </row>
    <row r="51" spans="1:11" x14ac:dyDescent="0.25">
      <c r="G51" s="37">
        <f>SUM(G4:G50)</f>
        <v>30000000.25</v>
      </c>
    </row>
    <row r="54" spans="1:11" x14ac:dyDescent="0.25">
      <c r="G54" s="37"/>
    </row>
  </sheetData>
  <mergeCells count="1">
    <mergeCell ref="A1:K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sqref="A1:K1"/>
    </sheetView>
  </sheetViews>
  <sheetFormatPr baseColWidth="10" defaultRowHeight="15" x14ac:dyDescent="0.25"/>
  <cols>
    <col min="2" max="2" width="19.85546875" customWidth="1"/>
    <col min="3" max="3" width="17.42578125" customWidth="1"/>
    <col min="6" max="6" width="13.140625" bestFit="1" customWidth="1"/>
    <col min="7" max="7" width="14.140625" bestFit="1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64" t="s">
        <v>535</v>
      </c>
      <c r="B2" s="45"/>
      <c r="C2" s="45"/>
      <c r="D2" s="45"/>
      <c r="E2" s="45"/>
      <c r="F2" s="45"/>
      <c r="G2" s="45"/>
      <c r="H2" s="45"/>
      <c r="I2" s="45" t="s">
        <v>23</v>
      </c>
      <c r="J2" s="45"/>
      <c r="K2" s="46">
        <v>40688305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8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127.5" x14ac:dyDescent="0.25">
      <c r="A4" s="62">
        <v>1</v>
      </c>
      <c r="B4" s="62" t="s">
        <v>451</v>
      </c>
      <c r="C4" s="62" t="s">
        <v>452</v>
      </c>
      <c r="D4" s="62">
        <v>319</v>
      </c>
      <c r="E4" s="62" t="s">
        <v>7</v>
      </c>
      <c r="F4" s="65">
        <f>+K2</f>
        <v>40688305</v>
      </c>
      <c r="G4" s="65">
        <f>+F4</f>
        <v>40688305</v>
      </c>
      <c r="H4" s="62" t="s">
        <v>96</v>
      </c>
      <c r="I4" s="62" t="s">
        <v>524</v>
      </c>
      <c r="J4" s="62" t="s">
        <v>32</v>
      </c>
      <c r="K4" s="62" t="s">
        <v>453</v>
      </c>
    </row>
    <row r="5" spans="1:11" x14ac:dyDescent="0.25">
      <c r="A5" s="1"/>
      <c r="B5" s="67" t="s">
        <v>34</v>
      </c>
      <c r="C5" s="1"/>
      <c r="D5" s="1"/>
      <c r="E5" s="1"/>
      <c r="F5" s="48"/>
      <c r="G5" s="68">
        <f>SUM(G4)</f>
        <v>40688305</v>
      </c>
      <c r="H5" s="1"/>
      <c r="I5" s="1"/>
      <c r="J5" s="1"/>
      <c r="K5" s="1"/>
    </row>
    <row r="6" spans="1:11" x14ac:dyDescent="0.25">
      <c r="F6" s="66"/>
      <c r="G6" s="66"/>
    </row>
    <row r="7" spans="1:11" x14ac:dyDescent="0.25">
      <c r="F7" s="66"/>
      <c r="G7" s="66"/>
    </row>
  </sheetData>
  <mergeCells count="1">
    <mergeCell ref="A1:K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G5" sqref="G5"/>
    </sheetView>
  </sheetViews>
  <sheetFormatPr baseColWidth="10" defaultRowHeight="15" x14ac:dyDescent="0.25"/>
  <cols>
    <col min="2" max="2" width="18.140625" customWidth="1"/>
    <col min="3" max="3" width="20.7109375" customWidth="1"/>
    <col min="6" max="6" width="12.140625" style="66" bestFit="1" customWidth="1"/>
    <col min="7" max="7" width="16.28515625" style="66" customWidth="1"/>
    <col min="11" max="11" width="18.28515625" bestFit="1" customWidth="1"/>
  </cols>
  <sheetData>
    <row r="1" spans="1:11" ht="15.75" customHeight="1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customHeight="1" x14ac:dyDescent="0.25">
      <c r="A2" s="72" t="s">
        <v>537</v>
      </c>
      <c r="B2" s="58"/>
      <c r="C2" s="58"/>
      <c r="D2" s="57"/>
      <c r="E2" s="57"/>
      <c r="F2" s="69"/>
      <c r="G2" s="69"/>
      <c r="H2" s="57"/>
      <c r="I2" s="71" t="s">
        <v>54</v>
      </c>
      <c r="J2" s="58"/>
      <c r="K2" s="59">
        <v>104000000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70" t="s">
        <v>55</v>
      </c>
      <c r="G3" s="70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89.25" x14ac:dyDescent="0.25">
      <c r="A4" s="62">
        <v>1</v>
      </c>
      <c r="B4" s="62" t="s">
        <v>574</v>
      </c>
      <c r="C4" s="62" t="s">
        <v>63</v>
      </c>
      <c r="D4" s="62">
        <v>1</v>
      </c>
      <c r="E4" s="62" t="s">
        <v>13</v>
      </c>
      <c r="F4" s="65">
        <v>104000000</v>
      </c>
      <c r="G4" s="65">
        <f>D4*F4</f>
        <v>104000000</v>
      </c>
      <c r="H4" s="62" t="s">
        <v>31</v>
      </c>
      <c r="I4" s="62" t="s">
        <v>97</v>
      </c>
      <c r="J4" s="62" t="s">
        <v>32</v>
      </c>
      <c r="K4" s="62" t="s">
        <v>98</v>
      </c>
    </row>
    <row r="5" spans="1:11" x14ac:dyDescent="0.25">
      <c r="G5" s="11">
        <f>+G4</f>
        <v>104000000</v>
      </c>
    </row>
  </sheetData>
  <mergeCells count="1">
    <mergeCell ref="A1:K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G5" sqref="G5"/>
    </sheetView>
  </sheetViews>
  <sheetFormatPr baseColWidth="10" defaultRowHeight="15" x14ac:dyDescent="0.25"/>
  <cols>
    <col min="2" max="2" width="23.85546875" customWidth="1"/>
    <col min="3" max="3" width="18.28515625" customWidth="1"/>
    <col min="6" max="6" width="13.140625" bestFit="1" customWidth="1"/>
    <col min="7" max="7" width="15.5703125" bestFit="1" customWidth="1"/>
    <col min="11" max="11" width="17.140625" bestFit="1" customWidth="1"/>
  </cols>
  <sheetData>
    <row r="1" spans="1:11" ht="15.75" customHeight="1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customHeight="1" x14ac:dyDescent="0.25">
      <c r="A2" s="73" t="s">
        <v>539</v>
      </c>
      <c r="B2" s="71"/>
      <c r="C2" s="71"/>
      <c r="D2" s="57"/>
      <c r="E2" s="57"/>
      <c r="F2" s="57"/>
      <c r="G2" s="57"/>
      <c r="H2" s="57"/>
      <c r="I2" s="71" t="s">
        <v>54</v>
      </c>
      <c r="J2" s="58"/>
      <c r="K2" s="59">
        <v>62400000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55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76.5" x14ac:dyDescent="0.25">
      <c r="A4" s="62">
        <v>1</v>
      </c>
      <c r="B4" s="62" t="s">
        <v>538</v>
      </c>
      <c r="C4" s="62" t="s">
        <v>454</v>
      </c>
      <c r="D4" s="62">
        <v>1</v>
      </c>
      <c r="E4" s="62" t="s">
        <v>7</v>
      </c>
      <c r="F4" s="65">
        <v>62400000</v>
      </c>
      <c r="G4" s="65">
        <v>62400000</v>
      </c>
      <c r="H4" s="62" t="s">
        <v>37</v>
      </c>
      <c r="I4" s="62" t="s">
        <v>541</v>
      </c>
      <c r="J4" s="62" t="s">
        <v>455</v>
      </c>
      <c r="K4" s="62" t="s">
        <v>456</v>
      </c>
    </row>
    <row r="5" spans="1:11" x14ac:dyDescent="0.25">
      <c r="G5" s="11">
        <f>SUM(G4)</f>
        <v>62400000</v>
      </c>
    </row>
  </sheetData>
  <mergeCells count="1">
    <mergeCell ref="A1:K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M18" sqref="M18"/>
    </sheetView>
  </sheetViews>
  <sheetFormatPr baseColWidth="10" defaultRowHeight="15" x14ac:dyDescent="0.25"/>
  <cols>
    <col min="2" max="2" width="16.42578125" customWidth="1"/>
    <col min="3" max="3" width="17.85546875" customWidth="1"/>
    <col min="6" max="6" width="13.140625" bestFit="1" customWidth="1"/>
    <col min="7" max="7" width="15.5703125" bestFit="1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73" t="s">
        <v>540</v>
      </c>
      <c r="B2" s="71"/>
      <c r="C2" s="71"/>
      <c r="D2" s="47"/>
      <c r="E2" s="47"/>
      <c r="F2" s="47"/>
      <c r="G2" s="47"/>
      <c r="H2" s="47"/>
      <c r="I2" s="39" t="s">
        <v>54</v>
      </c>
      <c r="J2" s="39"/>
      <c r="K2" s="54">
        <v>80436840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55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76.5" x14ac:dyDescent="0.25">
      <c r="A4" s="62">
        <v>1</v>
      </c>
      <c r="B4" s="62" t="s">
        <v>484</v>
      </c>
      <c r="C4" s="62" t="s">
        <v>457</v>
      </c>
      <c r="D4" s="62">
        <v>1</v>
      </c>
      <c r="E4" s="62" t="s">
        <v>7</v>
      </c>
      <c r="F4" s="65">
        <v>80436840</v>
      </c>
      <c r="G4" s="65">
        <f>D4*F4</f>
        <v>80436840</v>
      </c>
      <c r="H4" s="62" t="s">
        <v>37</v>
      </c>
      <c r="I4" s="62" t="s">
        <v>541</v>
      </c>
      <c r="J4" s="62" t="s">
        <v>32</v>
      </c>
      <c r="K4" s="62" t="s">
        <v>458</v>
      </c>
    </row>
    <row r="5" spans="1:11" x14ac:dyDescent="0.25">
      <c r="G5" s="11">
        <f>SUM(G4)</f>
        <v>80436840</v>
      </c>
    </row>
  </sheetData>
  <mergeCells count="1">
    <mergeCell ref="A1:K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B17" sqref="B17"/>
    </sheetView>
  </sheetViews>
  <sheetFormatPr baseColWidth="10" defaultRowHeight="15" x14ac:dyDescent="0.25"/>
  <cols>
    <col min="2" max="2" width="17.42578125" customWidth="1"/>
    <col min="3" max="3" width="16.85546875" customWidth="1"/>
    <col min="6" max="7" width="15.5703125" bestFit="1" customWidth="1"/>
    <col min="11" max="11" width="20" bestFit="1" customWidth="1"/>
  </cols>
  <sheetData>
    <row r="1" spans="1:11" ht="15.75" customHeight="1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customHeight="1" x14ac:dyDescent="0.25">
      <c r="A2" s="73" t="s">
        <v>542</v>
      </c>
      <c r="B2" s="71"/>
      <c r="C2" s="71"/>
      <c r="D2" s="57"/>
      <c r="E2" s="57"/>
      <c r="F2" s="57"/>
      <c r="G2" s="57"/>
      <c r="H2" s="57"/>
      <c r="I2" s="71" t="s">
        <v>468</v>
      </c>
      <c r="J2" s="58"/>
      <c r="K2" s="59">
        <v>83200000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55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25.5" x14ac:dyDescent="0.25">
      <c r="A4" s="62">
        <v>1</v>
      </c>
      <c r="B4" s="62" t="s">
        <v>459</v>
      </c>
      <c r="C4" s="62" t="s">
        <v>36</v>
      </c>
      <c r="D4" s="62">
        <v>1</v>
      </c>
      <c r="E4" s="62" t="s">
        <v>7</v>
      </c>
      <c r="F4" s="65">
        <f>+K2</f>
        <v>83200000</v>
      </c>
      <c r="G4" s="65">
        <f>D4*F4</f>
        <v>83200000</v>
      </c>
      <c r="H4" s="62" t="s">
        <v>31</v>
      </c>
      <c r="I4" s="62" t="s">
        <v>541</v>
      </c>
      <c r="J4" s="62" t="s">
        <v>32</v>
      </c>
      <c r="K4" s="62" t="s">
        <v>460</v>
      </c>
    </row>
    <row r="5" spans="1:11" x14ac:dyDescent="0.25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</row>
    <row r="6" spans="1:11" x14ac:dyDescent="0.25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</row>
    <row r="7" spans="1:11" x14ac:dyDescent="0.25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</row>
    <row r="8" spans="1:11" ht="15.75" customHeight="1" x14ac:dyDescent="0.25">
      <c r="A8" s="96" t="s">
        <v>569</v>
      </c>
      <c r="B8" s="98"/>
      <c r="C8" s="98"/>
      <c r="D8" s="98"/>
      <c r="E8" s="98"/>
      <c r="F8" s="98"/>
      <c r="G8" s="98"/>
      <c r="H8" s="98"/>
      <c r="I8" s="98"/>
      <c r="J8" s="98"/>
      <c r="K8" s="103"/>
    </row>
    <row r="9" spans="1:11" ht="15.75" customHeight="1" x14ac:dyDescent="0.25">
      <c r="A9" s="108" t="s">
        <v>543</v>
      </c>
      <c r="B9" s="109"/>
      <c r="C9" s="109"/>
      <c r="D9" s="57"/>
      <c r="E9" s="57"/>
      <c r="F9" s="57"/>
      <c r="G9" s="57"/>
      <c r="H9" s="57"/>
      <c r="I9" s="71" t="s">
        <v>54</v>
      </c>
      <c r="J9" s="58"/>
      <c r="K9" s="59">
        <v>1000000000</v>
      </c>
    </row>
    <row r="10" spans="1:11" ht="51" x14ac:dyDescent="0.25">
      <c r="A10" s="8" t="s">
        <v>0</v>
      </c>
      <c r="B10" s="8" t="s">
        <v>24</v>
      </c>
      <c r="C10" s="8" t="s">
        <v>2</v>
      </c>
      <c r="D10" s="8" t="s">
        <v>25</v>
      </c>
      <c r="E10" s="8" t="s">
        <v>3</v>
      </c>
      <c r="F10" s="8" t="s">
        <v>55</v>
      </c>
      <c r="G10" s="8" t="s">
        <v>56</v>
      </c>
      <c r="H10" s="8" t="s">
        <v>27</v>
      </c>
      <c r="I10" s="8" t="s">
        <v>47</v>
      </c>
      <c r="J10" s="8" t="s">
        <v>28</v>
      </c>
      <c r="K10" s="8" t="s">
        <v>9</v>
      </c>
    </row>
    <row r="11" spans="1:11" ht="63.75" x14ac:dyDescent="0.25">
      <c r="A11" s="62">
        <v>1</v>
      </c>
      <c r="B11" s="62" t="s">
        <v>461</v>
      </c>
      <c r="C11" s="62" t="s">
        <v>36</v>
      </c>
      <c r="D11" s="62">
        <v>1</v>
      </c>
      <c r="E11" s="62" t="s">
        <v>7</v>
      </c>
      <c r="F11" s="65">
        <f>+K9</f>
        <v>1000000000</v>
      </c>
      <c r="G11" s="65">
        <f>D11*F11</f>
        <v>1000000000</v>
      </c>
      <c r="H11" s="62" t="s">
        <v>37</v>
      </c>
      <c r="I11" s="62" t="s">
        <v>541</v>
      </c>
      <c r="J11" s="62" t="s">
        <v>32</v>
      </c>
      <c r="K11" s="62" t="s">
        <v>462</v>
      </c>
    </row>
    <row r="12" spans="1:11" x14ac:dyDescent="0.25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</row>
    <row r="13" spans="1:11" x14ac:dyDescent="0.25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</row>
    <row r="14" spans="1:11" ht="15.75" customHeight="1" x14ac:dyDescent="0.25">
      <c r="A14" s="96" t="s">
        <v>569</v>
      </c>
      <c r="B14" s="98"/>
      <c r="C14" s="98"/>
      <c r="D14" s="98"/>
      <c r="E14" s="98"/>
      <c r="F14" s="98"/>
      <c r="G14" s="98"/>
      <c r="H14" s="98"/>
      <c r="I14" s="98"/>
      <c r="J14" s="98"/>
      <c r="K14" s="103"/>
    </row>
    <row r="15" spans="1:11" ht="15.75" customHeight="1" x14ac:dyDescent="0.25">
      <c r="A15" s="73" t="s">
        <v>544</v>
      </c>
      <c r="B15" s="71"/>
      <c r="C15" s="71"/>
      <c r="D15" s="57"/>
      <c r="E15" s="57"/>
      <c r="F15" s="57"/>
      <c r="G15" s="57"/>
      <c r="H15" s="57"/>
      <c r="I15" s="71" t="s">
        <v>54</v>
      </c>
      <c r="J15" s="58"/>
      <c r="K15" s="59">
        <v>8320000</v>
      </c>
    </row>
    <row r="16" spans="1:11" ht="51" x14ac:dyDescent="0.25">
      <c r="A16" s="8" t="s">
        <v>0</v>
      </c>
      <c r="B16" s="8" t="s">
        <v>24</v>
      </c>
      <c r="C16" s="8" t="s">
        <v>2</v>
      </c>
      <c r="D16" s="8" t="s">
        <v>25</v>
      </c>
      <c r="E16" s="8" t="s">
        <v>3</v>
      </c>
      <c r="F16" s="8" t="s">
        <v>55</v>
      </c>
      <c r="G16" s="8" t="s">
        <v>56</v>
      </c>
      <c r="H16" s="8" t="s">
        <v>27</v>
      </c>
      <c r="I16" s="8" t="s">
        <v>47</v>
      </c>
      <c r="J16" s="8" t="s">
        <v>28</v>
      </c>
      <c r="K16" s="8" t="s">
        <v>9</v>
      </c>
    </row>
    <row r="17" spans="1:11" ht="102" x14ac:dyDescent="0.25">
      <c r="A17" s="62">
        <v>1</v>
      </c>
      <c r="B17" s="62" t="s">
        <v>463</v>
      </c>
      <c r="C17" s="62" t="s">
        <v>36</v>
      </c>
      <c r="D17" s="62">
        <v>1</v>
      </c>
      <c r="E17" s="62" t="s">
        <v>7</v>
      </c>
      <c r="F17" s="65">
        <f>+K15</f>
        <v>8320000</v>
      </c>
      <c r="G17" s="65">
        <f>D17*F17</f>
        <v>8320000</v>
      </c>
      <c r="H17" s="62" t="s">
        <v>31</v>
      </c>
      <c r="I17" s="62" t="s">
        <v>541</v>
      </c>
      <c r="J17" s="62" t="s">
        <v>32</v>
      </c>
      <c r="K17" s="62" t="s">
        <v>456</v>
      </c>
    </row>
    <row r="18" spans="1:11" x14ac:dyDescent="0.25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</row>
    <row r="19" spans="1:11" x14ac:dyDescent="0.25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</row>
    <row r="20" spans="1:11" ht="15.75" customHeight="1" x14ac:dyDescent="0.25">
      <c r="A20" s="96" t="s">
        <v>569</v>
      </c>
      <c r="B20" s="98"/>
      <c r="C20" s="98"/>
      <c r="D20" s="98"/>
      <c r="E20" s="98"/>
      <c r="F20" s="98"/>
      <c r="G20" s="98"/>
      <c r="H20" s="98"/>
      <c r="I20" s="98"/>
      <c r="J20" s="98"/>
      <c r="K20" s="103"/>
    </row>
    <row r="21" spans="1:11" ht="15.75" customHeight="1" x14ac:dyDescent="0.25">
      <c r="A21" s="73" t="s">
        <v>545</v>
      </c>
      <c r="B21" s="71"/>
      <c r="C21" s="71"/>
      <c r="D21" s="57"/>
      <c r="E21" s="57"/>
      <c r="F21" s="57"/>
      <c r="G21" s="57"/>
      <c r="H21" s="57"/>
      <c r="I21" s="71" t="s">
        <v>54</v>
      </c>
      <c r="J21" s="58"/>
      <c r="K21" s="59">
        <v>30000000</v>
      </c>
    </row>
    <row r="22" spans="1:11" ht="51" x14ac:dyDescent="0.25">
      <c r="A22" s="8" t="s">
        <v>0</v>
      </c>
      <c r="B22" s="8" t="s">
        <v>24</v>
      </c>
      <c r="C22" s="8" t="s">
        <v>2</v>
      </c>
      <c r="D22" s="8" t="s">
        <v>25</v>
      </c>
      <c r="E22" s="8" t="s">
        <v>3</v>
      </c>
      <c r="F22" s="8" t="s">
        <v>55</v>
      </c>
      <c r="G22" s="8" t="s">
        <v>56</v>
      </c>
      <c r="H22" s="8" t="s">
        <v>27</v>
      </c>
      <c r="I22" s="8" t="s">
        <v>47</v>
      </c>
      <c r="J22" s="8" t="s">
        <v>28</v>
      </c>
      <c r="K22" s="8" t="s">
        <v>9</v>
      </c>
    </row>
    <row r="23" spans="1:11" ht="25.5" x14ac:dyDescent="0.25">
      <c r="A23" s="62">
        <v>1</v>
      </c>
      <c r="B23" s="62" t="s">
        <v>464</v>
      </c>
      <c r="C23" s="62" t="s">
        <v>36</v>
      </c>
      <c r="D23" s="62">
        <v>1</v>
      </c>
      <c r="E23" s="62" t="s">
        <v>7</v>
      </c>
      <c r="F23" s="65">
        <v>10000000</v>
      </c>
      <c r="G23" s="65">
        <f>D23*F23</f>
        <v>10000000</v>
      </c>
      <c r="H23" s="62" t="s">
        <v>31</v>
      </c>
      <c r="I23" s="62" t="s">
        <v>541</v>
      </c>
      <c r="J23" s="62" t="s">
        <v>32</v>
      </c>
      <c r="K23" s="62" t="s">
        <v>465</v>
      </c>
    </row>
    <row r="24" spans="1:11" ht="51" x14ac:dyDescent="0.25">
      <c r="A24" s="62">
        <v>2</v>
      </c>
      <c r="B24" s="62" t="s">
        <v>466</v>
      </c>
      <c r="C24" s="62" t="s">
        <v>36</v>
      </c>
      <c r="D24" s="62">
        <v>1</v>
      </c>
      <c r="E24" s="62" t="s">
        <v>7</v>
      </c>
      <c r="F24" s="65">
        <v>20000000</v>
      </c>
      <c r="G24" s="65">
        <f>D24*F24</f>
        <v>20000000</v>
      </c>
      <c r="H24" s="62" t="s">
        <v>31</v>
      </c>
      <c r="I24" s="62" t="s">
        <v>541</v>
      </c>
      <c r="J24" s="62" t="s">
        <v>32</v>
      </c>
      <c r="K24" s="62" t="s">
        <v>467</v>
      </c>
    </row>
    <row r="25" spans="1:11" x14ac:dyDescent="0.2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</row>
    <row r="26" spans="1:11" x14ac:dyDescent="0.2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</row>
    <row r="27" spans="1:11" ht="15.75" customHeight="1" x14ac:dyDescent="0.25">
      <c r="A27" s="96" t="s">
        <v>569</v>
      </c>
      <c r="B27" s="98"/>
      <c r="C27" s="98"/>
      <c r="D27" s="98"/>
      <c r="E27" s="98"/>
      <c r="F27" s="98"/>
      <c r="G27" s="98"/>
      <c r="H27" s="98"/>
      <c r="I27" s="98"/>
      <c r="J27" s="98"/>
      <c r="K27" s="103"/>
    </row>
    <row r="28" spans="1:11" ht="15.75" customHeight="1" x14ac:dyDescent="0.25">
      <c r="A28" s="73" t="s">
        <v>546</v>
      </c>
      <c r="B28" s="71"/>
      <c r="C28" s="71"/>
      <c r="D28" s="57"/>
      <c r="E28" s="57"/>
      <c r="F28" s="57"/>
      <c r="G28" s="57"/>
      <c r="H28" s="57"/>
      <c r="I28" s="71" t="s">
        <v>54</v>
      </c>
      <c r="J28" s="58"/>
      <c r="K28" s="59">
        <v>300000000</v>
      </c>
    </row>
    <row r="29" spans="1:11" ht="51" x14ac:dyDescent="0.25">
      <c r="A29" s="8" t="s">
        <v>0</v>
      </c>
      <c r="B29" s="8" t="s">
        <v>24</v>
      </c>
      <c r="C29" s="8" t="s">
        <v>2</v>
      </c>
      <c r="D29" s="8" t="s">
        <v>25</v>
      </c>
      <c r="E29" s="8" t="s">
        <v>3</v>
      </c>
      <c r="F29" s="8" t="s">
        <v>55</v>
      </c>
      <c r="G29" s="8" t="s">
        <v>56</v>
      </c>
      <c r="H29" s="8" t="s">
        <v>27</v>
      </c>
      <c r="I29" s="8" t="s">
        <v>47</v>
      </c>
      <c r="J29" s="8" t="s">
        <v>28</v>
      </c>
      <c r="K29" s="8" t="s">
        <v>9</v>
      </c>
    </row>
    <row r="30" spans="1:11" ht="51" x14ac:dyDescent="0.25">
      <c r="A30" s="62">
        <v>1</v>
      </c>
      <c r="B30" s="62" t="s">
        <v>485</v>
      </c>
      <c r="C30" s="62" t="s">
        <v>36</v>
      </c>
      <c r="D30" s="62">
        <v>1</v>
      </c>
      <c r="E30" s="62" t="s">
        <v>7</v>
      </c>
      <c r="F30" s="65">
        <f>+K28</f>
        <v>300000000</v>
      </c>
      <c r="G30" s="65">
        <f>D30*F30</f>
        <v>300000000</v>
      </c>
      <c r="H30" s="62" t="s">
        <v>37</v>
      </c>
      <c r="I30" s="62" t="s">
        <v>541</v>
      </c>
      <c r="J30" s="62" t="s">
        <v>32</v>
      </c>
      <c r="K30" s="62" t="s">
        <v>467</v>
      </c>
    </row>
    <row r="31" spans="1:11" x14ac:dyDescent="0.25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</row>
    <row r="32" spans="1:11" x14ac:dyDescent="0.25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</row>
    <row r="33" spans="1:11" x14ac:dyDescent="0.25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</row>
    <row r="34" spans="1:11" ht="15.75" customHeight="1" x14ac:dyDescent="0.25">
      <c r="A34" s="96" t="s">
        <v>569</v>
      </c>
      <c r="B34" s="98"/>
      <c r="C34" s="98"/>
      <c r="D34" s="98"/>
      <c r="E34" s="98"/>
      <c r="F34" s="98"/>
      <c r="G34" s="98"/>
      <c r="H34" s="98"/>
      <c r="I34" s="98"/>
      <c r="J34" s="98"/>
      <c r="K34" s="103"/>
    </row>
    <row r="35" spans="1:11" ht="15.75" customHeight="1" x14ac:dyDescent="0.25">
      <c r="A35" s="73" t="s">
        <v>547</v>
      </c>
      <c r="B35" s="71"/>
      <c r="C35" s="71"/>
      <c r="D35" s="57"/>
      <c r="E35" s="57"/>
      <c r="F35" s="57"/>
      <c r="G35" s="57"/>
      <c r="H35" s="57"/>
      <c r="I35" s="71" t="s">
        <v>54</v>
      </c>
      <c r="J35" s="58"/>
      <c r="K35" s="59">
        <v>100000000</v>
      </c>
    </row>
    <row r="36" spans="1:11" ht="51" x14ac:dyDescent="0.25">
      <c r="A36" s="8" t="s">
        <v>0</v>
      </c>
      <c r="B36" s="8" t="s">
        <v>24</v>
      </c>
      <c r="C36" s="8" t="s">
        <v>2</v>
      </c>
      <c r="D36" s="8" t="s">
        <v>25</v>
      </c>
      <c r="E36" s="8" t="s">
        <v>3</v>
      </c>
      <c r="F36" s="8" t="s">
        <v>55</v>
      </c>
      <c r="G36" s="8" t="s">
        <v>56</v>
      </c>
      <c r="H36" s="8" t="s">
        <v>27</v>
      </c>
      <c r="I36" s="8" t="s">
        <v>47</v>
      </c>
      <c r="J36" s="8" t="s">
        <v>28</v>
      </c>
      <c r="K36" s="8" t="s">
        <v>9</v>
      </c>
    </row>
    <row r="37" spans="1:11" ht="102" x14ac:dyDescent="0.25">
      <c r="A37" s="62">
        <v>1</v>
      </c>
      <c r="B37" s="62" t="s">
        <v>573</v>
      </c>
      <c r="C37" s="62" t="s">
        <v>36</v>
      </c>
      <c r="D37" s="62">
        <v>1</v>
      </c>
      <c r="E37" s="62" t="s">
        <v>7</v>
      </c>
      <c r="F37" s="65">
        <f>+K35</f>
        <v>100000000</v>
      </c>
      <c r="G37" s="65">
        <f>D37*F37</f>
        <v>100000000</v>
      </c>
      <c r="H37" s="62" t="s">
        <v>37</v>
      </c>
      <c r="I37" s="62" t="s">
        <v>541</v>
      </c>
      <c r="J37" s="62" t="s">
        <v>32</v>
      </c>
      <c r="K37" s="62" t="s">
        <v>467</v>
      </c>
    </row>
  </sheetData>
  <mergeCells count="7">
    <mergeCell ref="A1:K1"/>
    <mergeCell ref="A8:K8"/>
    <mergeCell ref="A9:C9"/>
    <mergeCell ref="A27:K27"/>
    <mergeCell ref="A34:K34"/>
    <mergeCell ref="A14:K14"/>
    <mergeCell ref="A20:K20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sqref="A1:K1"/>
    </sheetView>
  </sheetViews>
  <sheetFormatPr baseColWidth="10" defaultRowHeight="15" x14ac:dyDescent="0.25"/>
  <cols>
    <col min="2" max="2" width="19.28515625" customWidth="1"/>
    <col min="3" max="3" width="23.5703125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73" t="s">
        <v>549</v>
      </c>
      <c r="B2" s="71"/>
      <c r="C2" s="71"/>
      <c r="D2" s="63"/>
      <c r="E2" s="63"/>
      <c r="F2" s="63"/>
      <c r="G2" s="63"/>
      <c r="H2" s="63"/>
      <c r="I2" s="39" t="s">
        <v>54</v>
      </c>
      <c r="J2" s="39"/>
      <c r="K2" s="54">
        <v>50000000</v>
      </c>
    </row>
    <row r="3" spans="1:11" ht="63.75" x14ac:dyDescent="0.25">
      <c r="A3" s="75" t="s">
        <v>0</v>
      </c>
      <c r="B3" s="75" t="s">
        <v>24</v>
      </c>
      <c r="C3" s="75" t="s">
        <v>2</v>
      </c>
      <c r="D3" s="75" t="s">
        <v>25</v>
      </c>
      <c r="E3" s="75" t="s">
        <v>3</v>
      </c>
      <c r="F3" s="75" t="s">
        <v>55</v>
      </c>
      <c r="G3" s="75" t="s">
        <v>56</v>
      </c>
      <c r="H3" s="75" t="s">
        <v>27</v>
      </c>
      <c r="I3" s="75" t="s">
        <v>47</v>
      </c>
      <c r="J3" s="75" t="s">
        <v>28</v>
      </c>
      <c r="K3" s="75" t="s">
        <v>9</v>
      </c>
    </row>
    <row r="4" spans="1:11" ht="63.75" x14ac:dyDescent="0.25">
      <c r="A4" s="65">
        <v>1</v>
      </c>
      <c r="B4" s="65" t="s">
        <v>486</v>
      </c>
      <c r="C4" s="65" t="s">
        <v>469</v>
      </c>
      <c r="D4" s="65">
        <v>1</v>
      </c>
      <c r="E4" s="65" t="s">
        <v>7</v>
      </c>
      <c r="F4" s="65">
        <f>+K2</f>
        <v>50000000</v>
      </c>
      <c r="G4" s="65">
        <f>D4*F4</f>
        <v>50000000</v>
      </c>
      <c r="H4" s="65" t="s">
        <v>31</v>
      </c>
      <c r="I4" s="65" t="s">
        <v>548</v>
      </c>
      <c r="J4" s="65" t="s">
        <v>32</v>
      </c>
      <c r="K4" s="65" t="s">
        <v>487</v>
      </c>
    </row>
  </sheetData>
  <mergeCells count="1">
    <mergeCell ref="A1:K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P5" sqref="P5"/>
    </sheetView>
  </sheetViews>
  <sheetFormatPr baseColWidth="10" defaultRowHeight="15" x14ac:dyDescent="0.25"/>
  <cols>
    <col min="2" max="2" width="19.5703125" customWidth="1"/>
    <col min="3" max="3" width="19.7109375" customWidth="1"/>
    <col min="7" max="7" width="13" bestFit="1" customWidth="1"/>
    <col min="11" max="11" width="18.5703125" bestFit="1" customWidth="1"/>
  </cols>
  <sheetData>
    <row r="1" spans="1:12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2" ht="15.75" x14ac:dyDescent="0.25">
      <c r="A2" s="73" t="s">
        <v>552</v>
      </c>
      <c r="B2" s="71"/>
      <c r="C2" s="74"/>
      <c r="D2" s="40"/>
      <c r="E2" s="40"/>
      <c r="F2" s="40"/>
      <c r="G2" s="40"/>
      <c r="H2" s="40"/>
      <c r="I2" s="38" t="s">
        <v>468</v>
      </c>
      <c r="J2" s="39"/>
      <c r="K2" s="54">
        <v>200000000</v>
      </c>
    </row>
    <row r="3" spans="1:12" ht="51" x14ac:dyDescent="0.25">
      <c r="A3" s="75" t="s">
        <v>0</v>
      </c>
      <c r="B3" s="75" t="s">
        <v>24</v>
      </c>
      <c r="C3" s="75" t="s">
        <v>2</v>
      </c>
      <c r="D3" s="75" t="s">
        <v>25</v>
      </c>
      <c r="E3" s="75" t="s">
        <v>3</v>
      </c>
      <c r="F3" s="75" t="s">
        <v>55</v>
      </c>
      <c r="G3" s="75" t="s">
        <v>56</v>
      </c>
      <c r="H3" s="75" t="s">
        <v>27</v>
      </c>
      <c r="I3" s="75" t="s">
        <v>47</v>
      </c>
      <c r="J3" s="75" t="s">
        <v>28</v>
      </c>
      <c r="K3" s="75" t="s">
        <v>9</v>
      </c>
      <c r="L3" s="12"/>
    </row>
    <row r="4" spans="1:12" ht="63.75" x14ac:dyDescent="0.25">
      <c r="A4" s="65">
        <v>1</v>
      </c>
      <c r="B4" s="65" t="s">
        <v>470</v>
      </c>
      <c r="C4" s="65" t="s">
        <v>471</v>
      </c>
      <c r="D4" s="65">
        <v>1</v>
      </c>
      <c r="E4" s="65" t="s">
        <v>7</v>
      </c>
      <c r="F4" s="65">
        <v>65000000</v>
      </c>
      <c r="G4" s="65">
        <f>D4*F4</f>
        <v>65000000</v>
      </c>
      <c r="H4" s="65" t="s">
        <v>472</v>
      </c>
      <c r="I4" s="65" t="s">
        <v>551</v>
      </c>
      <c r="J4" s="65" t="s">
        <v>32</v>
      </c>
      <c r="K4" s="65" t="s">
        <v>488</v>
      </c>
      <c r="L4">
        <v>1</v>
      </c>
    </row>
    <row r="5" spans="1:12" ht="89.25" x14ac:dyDescent="0.25">
      <c r="A5" s="65">
        <v>2</v>
      </c>
      <c r="B5" s="65" t="s">
        <v>490</v>
      </c>
      <c r="C5" s="65" t="s">
        <v>474</v>
      </c>
      <c r="D5" s="65">
        <v>1</v>
      </c>
      <c r="E5" s="65" t="s">
        <v>7</v>
      </c>
      <c r="F5" s="65">
        <v>15000000</v>
      </c>
      <c r="G5" s="65">
        <f>D5*F5</f>
        <v>15000000</v>
      </c>
      <c r="H5" s="65" t="s">
        <v>37</v>
      </c>
      <c r="I5" s="65" t="s">
        <v>551</v>
      </c>
      <c r="J5" s="65" t="s">
        <v>32</v>
      </c>
      <c r="K5" s="65" t="s">
        <v>473</v>
      </c>
      <c r="L5">
        <v>2</v>
      </c>
    </row>
    <row r="6" spans="1:12" ht="63.75" x14ac:dyDescent="0.25">
      <c r="A6" s="65">
        <v>3</v>
      </c>
      <c r="B6" s="65" t="s">
        <v>550</v>
      </c>
      <c r="C6" s="65" t="s">
        <v>474</v>
      </c>
      <c r="D6" s="65">
        <v>1</v>
      </c>
      <c r="E6" s="65" t="s">
        <v>7</v>
      </c>
      <c r="F6" s="65">
        <v>15000000</v>
      </c>
      <c r="G6" s="65">
        <f>D6*F6</f>
        <v>15000000</v>
      </c>
      <c r="H6" s="65" t="s">
        <v>37</v>
      </c>
      <c r="I6" s="65" t="s">
        <v>551</v>
      </c>
      <c r="J6" s="65" t="s">
        <v>32</v>
      </c>
      <c r="K6" s="65" t="s">
        <v>473</v>
      </c>
      <c r="L6">
        <v>3</v>
      </c>
    </row>
    <row r="7" spans="1:12" ht="89.25" x14ac:dyDescent="0.25">
      <c r="A7" s="65">
        <v>4</v>
      </c>
      <c r="B7" s="65" t="s">
        <v>494</v>
      </c>
      <c r="C7" s="65" t="s">
        <v>474</v>
      </c>
      <c r="D7" s="65">
        <v>1</v>
      </c>
      <c r="E7" s="65" t="s">
        <v>7</v>
      </c>
      <c r="F7" s="65">
        <v>12000000</v>
      </c>
      <c r="G7" s="65">
        <f>D7*F7</f>
        <v>12000000</v>
      </c>
      <c r="H7" s="65" t="s">
        <v>37</v>
      </c>
      <c r="I7" s="65" t="s">
        <v>551</v>
      </c>
      <c r="J7" s="65" t="s">
        <v>32</v>
      </c>
      <c r="K7" s="65" t="s">
        <v>473</v>
      </c>
      <c r="L7">
        <v>4</v>
      </c>
    </row>
    <row r="8" spans="1:12" ht="63.75" x14ac:dyDescent="0.25">
      <c r="A8" s="65">
        <v>5</v>
      </c>
      <c r="B8" s="65" t="s">
        <v>489</v>
      </c>
      <c r="C8" s="65" t="s">
        <v>474</v>
      </c>
      <c r="D8" s="65">
        <v>1</v>
      </c>
      <c r="E8" s="65" t="s">
        <v>7</v>
      </c>
      <c r="F8" s="65">
        <v>12000000</v>
      </c>
      <c r="G8" s="65">
        <f>D8*F8</f>
        <v>12000000</v>
      </c>
      <c r="H8" s="65" t="s">
        <v>472</v>
      </c>
      <c r="I8" s="65" t="s">
        <v>551</v>
      </c>
      <c r="J8" s="65" t="s">
        <v>32</v>
      </c>
      <c r="K8" s="65" t="s">
        <v>473</v>
      </c>
    </row>
    <row r="9" spans="1:12" ht="63.75" x14ac:dyDescent="0.25">
      <c r="A9" s="65">
        <v>6</v>
      </c>
      <c r="B9" s="65" t="s">
        <v>475</v>
      </c>
      <c r="C9" s="65" t="s">
        <v>474</v>
      </c>
      <c r="D9" s="65">
        <v>1</v>
      </c>
      <c r="E9" s="65" t="s">
        <v>7</v>
      </c>
      <c r="F9" s="65">
        <v>3500000</v>
      </c>
      <c r="G9" s="65">
        <f t="shared" ref="G9:G17" si="0">D9*F9</f>
        <v>3500000</v>
      </c>
      <c r="H9" s="65" t="s">
        <v>472</v>
      </c>
      <c r="I9" s="65" t="s">
        <v>551</v>
      </c>
      <c r="J9" s="65" t="s">
        <v>32</v>
      </c>
      <c r="K9" s="65" t="s">
        <v>473</v>
      </c>
    </row>
    <row r="10" spans="1:12" ht="63.75" x14ac:dyDescent="0.25">
      <c r="A10" s="65">
        <v>7</v>
      </c>
      <c r="B10" s="65" t="s">
        <v>491</v>
      </c>
      <c r="C10" s="65" t="s">
        <v>474</v>
      </c>
      <c r="D10" s="65">
        <v>1</v>
      </c>
      <c r="E10" s="65" t="s">
        <v>7</v>
      </c>
      <c r="F10" s="65">
        <v>10000000</v>
      </c>
      <c r="G10" s="65">
        <f t="shared" si="0"/>
        <v>10000000</v>
      </c>
      <c r="H10" s="65" t="s">
        <v>37</v>
      </c>
      <c r="I10" s="65" t="s">
        <v>551</v>
      </c>
      <c r="J10" s="65" t="s">
        <v>32</v>
      </c>
      <c r="K10" s="65" t="s">
        <v>473</v>
      </c>
    </row>
    <row r="11" spans="1:12" ht="89.25" x14ac:dyDescent="0.25">
      <c r="A11" s="65">
        <v>8</v>
      </c>
      <c r="B11" s="65" t="s">
        <v>492</v>
      </c>
      <c r="C11" s="65" t="s">
        <v>474</v>
      </c>
      <c r="D11" s="65">
        <v>1</v>
      </c>
      <c r="E11" s="65" t="s">
        <v>7</v>
      </c>
      <c r="F11" s="65">
        <v>6450000</v>
      </c>
      <c r="G11" s="65">
        <f t="shared" si="0"/>
        <v>6450000</v>
      </c>
      <c r="H11" s="65" t="s">
        <v>37</v>
      </c>
      <c r="I11" s="65" t="s">
        <v>551</v>
      </c>
      <c r="J11" s="65" t="s">
        <v>32</v>
      </c>
      <c r="K11" s="65" t="s">
        <v>473</v>
      </c>
    </row>
    <row r="12" spans="1:12" ht="63.75" x14ac:dyDescent="0.25">
      <c r="A12" s="65">
        <v>9</v>
      </c>
      <c r="B12" s="65" t="s">
        <v>493</v>
      </c>
      <c r="C12" s="65" t="s">
        <v>474</v>
      </c>
      <c r="D12" s="65">
        <v>1</v>
      </c>
      <c r="E12" s="65" t="s">
        <v>7</v>
      </c>
      <c r="F12" s="65">
        <v>18029500</v>
      </c>
      <c r="G12" s="65">
        <f t="shared" si="0"/>
        <v>18029500</v>
      </c>
      <c r="H12" s="65" t="s">
        <v>37</v>
      </c>
      <c r="I12" s="65" t="s">
        <v>551</v>
      </c>
      <c r="J12" s="65" t="s">
        <v>32</v>
      </c>
      <c r="K12" s="65" t="s">
        <v>473</v>
      </c>
    </row>
    <row r="13" spans="1:12" ht="63.75" x14ac:dyDescent="0.25">
      <c r="A13" s="65">
        <v>10</v>
      </c>
      <c r="B13" s="65" t="s">
        <v>495</v>
      </c>
      <c r="C13" s="65" t="s">
        <v>476</v>
      </c>
      <c r="D13" s="65">
        <v>1</v>
      </c>
      <c r="E13" s="65" t="s">
        <v>7</v>
      </c>
      <c r="F13" s="65">
        <v>11973300</v>
      </c>
      <c r="G13" s="65">
        <f t="shared" si="0"/>
        <v>11973300</v>
      </c>
      <c r="H13" s="65" t="s">
        <v>37</v>
      </c>
      <c r="I13" s="65" t="s">
        <v>551</v>
      </c>
      <c r="J13" s="65" t="s">
        <v>32</v>
      </c>
      <c r="K13" s="65" t="s">
        <v>473</v>
      </c>
    </row>
    <row r="14" spans="1:12" ht="102" x14ac:dyDescent="0.25">
      <c r="A14" s="65">
        <v>11</v>
      </c>
      <c r="B14" s="65" t="s">
        <v>496</v>
      </c>
      <c r="C14" s="65" t="s">
        <v>474</v>
      </c>
      <c r="D14" s="65">
        <v>1</v>
      </c>
      <c r="E14" s="65" t="s">
        <v>7</v>
      </c>
      <c r="F14" s="65">
        <v>13371700</v>
      </c>
      <c r="G14" s="65">
        <f t="shared" si="0"/>
        <v>13371700</v>
      </c>
      <c r="H14" s="65" t="s">
        <v>37</v>
      </c>
      <c r="I14" s="65" t="s">
        <v>551</v>
      </c>
      <c r="J14" s="65" t="s">
        <v>32</v>
      </c>
      <c r="K14" s="65" t="s">
        <v>473</v>
      </c>
    </row>
    <row r="15" spans="1:12" ht="89.25" x14ac:dyDescent="0.25">
      <c r="A15" s="65">
        <v>12</v>
      </c>
      <c r="B15" s="65" t="s">
        <v>497</v>
      </c>
      <c r="C15" s="65" t="s">
        <v>474</v>
      </c>
      <c r="D15" s="65">
        <v>1</v>
      </c>
      <c r="E15" s="65" t="s">
        <v>7</v>
      </c>
      <c r="F15" s="65">
        <v>9450000</v>
      </c>
      <c r="G15" s="65">
        <f t="shared" si="0"/>
        <v>9450000</v>
      </c>
      <c r="H15" s="65" t="s">
        <v>37</v>
      </c>
      <c r="I15" s="65" t="s">
        <v>551</v>
      </c>
      <c r="J15" s="65" t="s">
        <v>32</v>
      </c>
      <c r="K15" s="65" t="s">
        <v>473</v>
      </c>
    </row>
    <row r="16" spans="1:12" ht="63.75" x14ac:dyDescent="0.25">
      <c r="A16" s="65">
        <v>13</v>
      </c>
      <c r="B16" s="65" t="s">
        <v>498</v>
      </c>
      <c r="C16" s="65" t="s">
        <v>474</v>
      </c>
      <c r="D16" s="65">
        <v>1</v>
      </c>
      <c r="E16" s="65" t="s">
        <v>7</v>
      </c>
      <c r="F16" s="65">
        <v>5613000</v>
      </c>
      <c r="G16" s="65">
        <f t="shared" si="0"/>
        <v>5613000</v>
      </c>
      <c r="H16" s="65" t="s">
        <v>37</v>
      </c>
      <c r="I16" s="65" t="s">
        <v>551</v>
      </c>
      <c r="J16" s="65" t="s">
        <v>32</v>
      </c>
      <c r="K16" s="65" t="s">
        <v>473</v>
      </c>
    </row>
    <row r="17" spans="1:11" ht="63.75" x14ac:dyDescent="0.25">
      <c r="A17" s="65">
        <v>14</v>
      </c>
      <c r="B17" s="65" t="s">
        <v>477</v>
      </c>
      <c r="C17" s="65" t="s">
        <v>478</v>
      </c>
      <c r="D17" s="65">
        <v>1</v>
      </c>
      <c r="E17" s="65" t="s">
        <v>7</v>
      </c>
      <c r="F17" s="65">
        <v>2612500</v>
      </c>
      <c r="G17" s="65">
        <f t="shared" si="0"/>
        <v>2612500</v>
      </c>
      <c r="H17" s="65" t="s">
        <v>37</v>
      </c>
      <c r="I17" s="65" t="s">
        <v>551</v>
      </c>
      <c r="J17" s="65" t="s">
        <v>32</v>
      </c>
      <c r="K17" s="65" t="s">
        <v>473</v>
      </c>
    </row>
    <row r="18" spans="1:11" x14ac:dyDescent="0.25">
      <c r="A18" s="60"/>
      <c r="B18" s="60"/>
      <c r="C18" s="60"/>
      <c r="D18" s="60"/>
      <c r="E18" s="60"/>
      <c r="F18" s="60"/>
      <c r="G18" s="61">
        <f>SUM(G4:G17)</f>
        <v>200000000</v>
      </c>
      <c r="H18" s="60"/>
      <c r="I18" s="60"/>
      <c r="J18" s="60"/>
      <c r="K18" s="60"/>
    </row>
    <row r="22" spans="1:11" x14ac:dyDescent="0.25">
      <c r="G22" s="14"/>
    </row>
    <row r="23" spans="1:11" x14ac:dyDescent="0.25">
      <c r="G23" s="14"/>
    </row>
  </sheetData>
  <mergeCells count="1">
    <mergeCell ref="A1:K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sqref="A1:K1"/>
    </sheetView>
  </sheetViews>
  <sheetFormatPr baseColWidth="10" defaultRowHeight="15" x14ac:dyDescent="0.25"/>
  <cols>
    <col min="2" max="2" width="16.140625" customWidth="1"/>
    <col min="3" max="3" width="18.42578125" customWidth="1"/>
    <col min="6" max="7" width="14.140625" bestFit="1" customWidth="1"/>
    <col min="11" max="11" width="20.285156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73" t="s">
        <v>553</v>
      </c>
      <c r="B2" s="71"/>
      <c r="C2" s="74"/>
      <c r="D2" s="40"/>
      <c r="E2" s="40"/>
      <c r="F2" s="40"/>
      <c r="G2" s="40"/>
      <c r="H2" s="40"/>
      <c r="I2" s="38" t="s">
        <v>54</v>
      </c>
      <c r="J2" s="39"/>
      <c r="K2" s="54">
        <v>4075900000</v>
      </c>
    </row>
    <row r="3" spans="1:11" ht="51" x14ac:dyDescent="0.25">
      <c r="A3" s="75" t="s">
        <v>0</v>
      </c>
      <c r="B3" s="75" t="s">
        <v>24</v>
      </c>
      <c r="C3" s="75" t="s">
        <v>2</v>
      </c>
      <c r="D3" s="75" t="s">
        <v>25</v>
      </c>
      <c r="E3" s="75" t="s">
        <v>3</v>
      </c>
      <c r="F3" s="75" t="s">
        <v>55</v>
      </c>
      <c r="G3" s="75" t="s">
        <v>56</v>
      </c>
      <c r="H3" s="75" t="s">
        <v>27</v>
      </c>
      <c r="I3" s="75" t="s">
        <v>47</v>
      </c>
      <c r="J3" s="75" t="s">
        <v>28</v>
      </c>
      <c r="K3" s="75" t="s">
        <v>9</v>
      </c>
    </row>
    <row r="4" spans="1:11" ht="63.75" x14ac:dyDescent="0.25">
      <c r="A4" s="65">
        <v>1</v>
      </c>
      <c r="B4" s="65" t="s">
        <v>502</v>
      </c>
      <c r="C4" s="65" t="s">
        <v>479</v>
      </c>
      <c r="D4" s="65">
        <v>1</v>
      </c>
      <c r="E4" s="65" t="s">
        <v>7</v>
      </c>
      <c r="F4" s="65">
        <f>2274307502+20000000</f>
        <v>2294307502</v>
      </c>
      <c r="G4" s="65">
        <f>D4*F4</f>
        <v>2294307502</v>
      </c>
      <c r="H4" s="65" t="s">
        <v>37</v>
      </c>
      <c r="I4" s="65" t="s">
        <v>499</v>
      </c>
      <c r="J4" s="65" t="s">
        <v>32</v>
      </c>
      <c r="K4" s="65" t="s">
        <v>480</v>
      </c>
    </row>
    <row r="5" spans="1:11" ht="51" x14ac:dyDescent="0.25">
      <c r="A5" s="65"/>
      <c r="B5" s="65" t="s">
        <v>503</v>
      </c>
      <c r="C5" s="65" t="s">
        <v>479</v>
      </c>
      <c r="D5" s="65">
        <v>1</v>
      </c>
      <c r="E5" s="65" t="s">
        <v>7</v>
      </c>
      <c r="F5" s="65">
        <f>1779515930+2076568</f>
        <v>1781592498</v>
      </c>
      <c r="G5" s="65">
        <f>D5*F5</f>
        <v>1781592498</v>
      </c>
      <c r="H5" s="65" t="s">
        <v>37</v>
      </c>
      <c r="I5" s="65" t="s">
        <v>499</v>
      </c>
      <c r="J5" s="65" t="s">
        <v>32</v>
      </c>
      <c r="K5" s="65" t="s">
        <v>480</v>
      </c>
    </row>
    <row r="6" spans="1:11" x14ac:dyDescent="0.25">
      <c r="G6" s="37">
        <f>SUM(G4:G5)</f>
        <v>4075900000</v>
      </c>
    </row>
    <row r="7" spans="1:11" x14ac:dyDescent="0.25">
      <c r="F7" s="37"/>
      <c r="G7" s="14"/>
    </row>
    <row r="16" spans="1:11" x14ac:dyDescent="0.25">
      <c r="C16" s="66"/>
      <c r="E16" s="66"/>
    </row>
    <row r="17" spans="3:6" x14ac:dyDescent="0.25">
      <c r="C17" s="66"/>
      <c r="E17" s="66"/>
    </row>
    <row r="18" spans="3:6" x14ac:dyDescent="0.25">
      <c r="C18" s="66"/>
      <c r="E18" s="66"/>
      <c r="F18" s="77"/>
    </row>
    <row r="19" spans="3:6" x14ac:dyDescent="0.25">
      <c r="C19" s="66"/>
      <c r="E19" s="66"/>
    </row>
    <row r="20" spans="3:6" x14ac:dyDescent="0.25">
      <c r="C20" s="76"/>
      <c r="E20" s="37"/>
    </row>
    <row r="21" spans="3:6" x14ac:dyDescent="0.25">
      <c r="C21" s="66"/>
      <c r="E21" s="37"/>
    </row>
    <row r="22" spans="3:6" x14ac:dyDescent="0.25">
      <c r="D22" s="77"/>
      <c r="E22" s="37"/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J4"/>
  <sheetViews>
    <sheetView workbookViewId="0">
      <selection activeCell="C23" sqref="C23"/>
    </sheetView>
  </sheetViews>
  <sheetFormatPr baseColWidth="10" defaultRowHeight="12.75" x14ac:dyDescent="0.2"/>
  <cols>
    <col min="1" max="1" width="11.42578125" style="2"/>
    <col min="2" max="2" width="32.5703125" style="2" customWidth="1"/>
    <col min="3" max="3" width="27.28515625" style="2" customWidth="1"/>
    <col min="4" max="5" width="11.42578125" style="2"/>
    <col min="6" max="6" width="13.85546875" style="2" bestFit="1" customWidth="1"/>
    <col min="7" max="7" width="11.42578125" style="2"/>
    <col min="8" max="8" width="17.42578125" style="2" bestFit="1" customWidth="1"/>
    <col min="9" max="9" width="11.42578125" style="2"/>
    <col min="10" max="10" width="13.140625" style="2" bestFit="1" customWidth="1"/>
    <col min="11" max="16384" width="11.42578125" style="2"/>
  </cols>
  <sheetData>
    <row r="1" spans="1:10" ht="15.75" x14ac:dyDescent="0.25">
      <c r="A1" s="96" t="s">
        <v>569</v>
      </c>
      <c r="B1" s="97"/>
      <c r="C1" s="97"/>
      <c r="D1" s="97"/>
      <c r="E1" s="97"/>
      <c r="F1" s="97"/>
      <c r="G1" s="97"/>
      <c r="H1" s="97"/>
      <c r="I1" s="86"/>
      <c r="J1" s="86"/>
    </row>
    <row r="2" spans="1:10" x14ac:dyDescent="0.2">
      <c r="A2" s="99" t="s">
        <v>15</v>
      </c>
      <c r="B2" s="100"/>
      <c r="C2" s="100"/>
      <c r="D2" s="6"/>
      <c r="E2" s="6"/>
      <c r="F2" s="7"/>
      <c r="G2" s="7"/>
      <c r="H2" s="43">
        <v>10000000</v>
      </c>
    </row>
    <row r="3" spans="1:10" ht="38.25" x14ac:dyDescent="0.2">
      <c r="A3" s="8" t="s">
        <v>0</v>
      </c>
      <c r="B3" s="8" t="s">
        <v>1</v>
      </c>
      <c r="C3" s="8" t="s">
        <v>2</v>
      </c>
      <c r="D3" s="8" t="s">
        <v>4</v>
      </c>
      <c r="E3" s="8" t="s">
        <v>3</v>
      </c>
      <c r="F3" s="8" t="s">
        <v>5</v>
      </c>
      <c r="G3" s="8" t="s">
        <v>14</v>
      </c>
      <c r="H3" s="8" t="s">
        <v>6</v>
      </c>
    </row>
    <row r="4" spans="1:10" ht="38.25" x14ac:dyDescent="0.2">
      <c r="A4" s="87">
        <v>1</v>
      </c>
      <c r="B4" s="3" t="s">
        <v>518</v>
      </c>
      <c r="C4" s="88" t="s">
        <v>12</v>
      </c>
      <c r="D4" s="88">
        <v>3</v>
      </c>
      <c r="E4" s="88" t="s">
        <v>7</v>
      </c>
      <c r="F4" s="18">
        <v>3333333</v>
      </c>
      <c r="G4" s="89">
        <v>10000000</v>
      </c>
      <c r="H4" s="4" t="s">
        <v>11</v>
      </c>
      <c r="J4" s="5"/>
    </row>
  </sheetData>
  <mergeCells count="2">
    <mergeCell ref="A1:H1"/>
    <mergeCell ref="A2:C2"/>
  </mergeCells>
  <pageMargins left="0.7" right="0.7" top="0.75" bottom="0.75" header="0.3" footer="0.3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workbookViewId="0">
      <selection activeCell="D4" sqref="D4"/>
    </sheetView>
  </sheetViews>
  <sheetFormatPr baseColWidth="10" defaultRowHeight="15" x14ac:dyDescent="0.25"/>
  <cols>
    <col min="2" max="2" width="17.5703125" customWidth="1"/>
    <col min="3" max="3" width="16.5703125" customWidth="1"/>
    <col min="6" max="7" width="13.140625" bestFit="1" customWidth="1"/>
    <col min="11" max="11" width="20.28515625" bestFit="1" customWidth="1"/>
  </cols>
  <sheetData>
    <row r="1" spans="1:13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3" ht="15.75" x14ac:dyDescent="0.25">
      <c r="A2" s="73" t="s">
        <v>554</v>
      </c>
      <c r="B2" s="71"/>
      <c r="C2" s="74"/>
      <c r="D2" s="40"/>
      <c r="E2" s="40"/>
      <c r="F2" s="40"/>
      <c r="G2" s="40"/>
      <c r="H2" s="40"/>
      <c r="I2" s="38" t="s">
        <v>468</v>
      </c>
      <c r="J2" s="39"/>
      <c r="K2" s="54">
        <v>1500000000</v>
      </c>
    </row>
    <row r="3" spans="1:13" ht="51" x14ac:dyDescent="0.25">
      <c r="A3" s="75" t="s">
        <v>0</v>
      </c>
      <c r="B3" s="75" t="s">
        <v>24</v>
      </c>
      <c r="C3" s="75" t="s">
        <v>2</v>
      </c>
      <c r="D3" s="75" t="s">
        <v>25</v>
      </c>
      <c r="E3" s="75" t="s">
        <v>3</v>
      </c>
      <c r="F3" s="75" t="s">
        <v>55</v>
      </c>
      <c r="G3" s="75" t="s">
        <v>56</v>
      </c>
      <c r="H3" s="75" t="s">
        <v>27</v>
      </c>
      <c r="I3" s="75" t="s">
        <v>47</v>
      </c>
      <c r="J3" s="75" t="s">
        <v>28</v>
      </c>
      <c r="K3" s="75" t="s">
        <v>9</v>
      </c>
    </row>
    <row r="4" spans="1:13" ht="63.75" x14ac:dyDescent="0.25">
      <c r="A4" s="65">
        <v>1</v>
      </c>
      <c r="B4" s="65" t="s">
        <v>500</v>
      </c>
      <c r="C4" s="65" t="s">
        <v>479</v>
      </c>
      <c r="D4" s="65">
        <v>1</v>
      </c>
      <c r="E4" s="65" t="s">
        <v>7</v>
      </c>
      <c r="F4" s="65">
        <f>+K2</f>
        <v>1500000000</v>
      </c>
      <c r="G4" s="65">
        <f>D4*F4</f>
        <v>1500000000</v>
      </c>
      <c r="H4" s="65" t="s">
        <v>37</v>
      </c>
      <c r="I4" s="65"/>
      <c r="J4" s="65" t="s">
        <v>32</v>
      </c>
      <c r="K4" s="65" t="s">
        <v>456</v>
      </c>
    </row>
    <row r="7" spans="1:13" ht="15.75" x14ac:dyDescent="0.25">
      <c r="A7" s="96" t="s">
        <v>569</v>
      </c>
      <c r="B7" s="98"/>
      <c r="C7" s="98"/>
      <c r="D7" s="98"/>
      <c r="E7" s="98"/>
      <c r="F7" s="98"/>
      <c r="G7" s="98"/>
      <c r="H7" s="98"/>
      <c r="I7" s="98"/>
      <c r="J7" s="98"/>
      <c r="K7" s="103"/>
    </row>
    <row r="8" spans="1:13" ht="15.75" x14ac:dyDescent="0.25">
      <c r="A8" s="73" t="s">
        <v>555</v>
      </c>
      <c r="B8" s="73"/>
      <c r="C8" s="73"/>
      <c r="D8" s="40"/>
      <c r="E8" s="40"/>
      <c r="F8" s="40"/>
      <c r="G8" s="40"/>
      <c r="H8" s="40"/>
      <c r="I8" s="38" t="s">
        <v>54</v>
      </c>
      <c r="J8" s="39"/>
      <c r="K8" s="54">
        <v>600000000</v>
      </c>
      <c r="M8" s="78"/>
    </row>
    <row r="9" spans="1:13" ht="51" x14ac:dyDescent="0.25">
      <c r="A9" s="75" t="s">
        <v>0</v>
      </c>
      <c r="B9" s="75" t="s">
        <v>24</v>
      </c>
      <c r="C9" s="75" t="s">
        <v>2</v>
      </c>
      <c r="D9" s="75" t="s">
        <v>25</v>
      </c>
      <c r="E9" s="75" t="s">
        <v>3</v>
      </c>
      <c r="F9" s="75" t="s">
        <v>55</v>
      </c>
      <c r="G9" s="75" t="s">
        <v>56</v>
      </c>
      <c r="H9" s="75" t="s">
        <v>27</v>
      </c>
      <c r="I9" s="75" t="s">
        <v>47</v>
      </c>
      <c r="J9" s="75" t="s">
        <v>28</v>
      </c>
      <c r="K9" s="75" t="s">
        <v>9</v>
      </c>
    </row>
    <row r="10" spans="1:13" ht="51" x14ac:dyDescent="0.25">
      <c r="A10" s="65">
        <v>1</v>
      </c>
      <c r="B10" s="65" t="s">
        <v>501</v>
      </c>
      <c r="C10" s="65" t="s">
        <v>504</v>
      </c>
      <c r="D10" s="65">
        <v>1</v>
      </c>
      <c r="E10" s="65" t="s">
        <v>7</v>
      </c>
      <c r="F10" s="65">
        <f>+K8</f>
        <v>600000000</v>
      </c>
      <c r="G10" s="65">
        <f>D10*F10</f>
        <v>600000000</v>
      </c>
      <c r="H10" s="65" t="s">
        <v>37</v>
      </c>
      <c r="I10" s="65"/>
      <c r="J10" s="65" t="s">
        <v>32</v>
      </c>
      <c r="K10" s="65" t="s">
        <v>456</v>
      </c>
    </row>
    <row r="13" spans="1:13" ht="15.75" x14ac:dyDescent="0.25">
      <c r="A13" s="96" t="s">
        <v>569</v>
      </c>
      <c r="B13" s="98"/>
      <c r="C13" s="98"/>
      <c r="D13" s="98"/>
      <c r="E13" s="98"/>
      <c r="F13" s="98"/>
      <c r="G13" s="98"/>
      <c r="H13" s="98"/>
      <c r="I13" s="98"/>
      <c r="J13" s="98"/>
      <c r="K13" s="103"/>
    </row>
    <row r="14" spans="1:13" ht="15.75" x14ac:dyDescent="0.25">
      <c r="A14" s="73" t="s">
        <v>556</v>
      </c>
      <c r="B14" s="73"/>
      <c r="C14" s="73"/>
      <c r="D14" s="40"/>
      <c r="E14" s="40"/>
      <c r="F14" s="40"/>
      <c r="G14" s="40"/>
      <c r="H14" s="40"/>
      <c r="I14" s="38" t="s">
        <v>54</v>
      </c>
      <c r="J14" s="39"/>
      <c r="K14" s="54">
        <v>50000000</v>
      </c>
    </row>
    <row r="15" spans="1:13" ht="51" x14ac:dyDescent="0.25">
      <c r="A15" s="75" t="s">
        <v>0</v>
      </c>
      <c r="B15" s="75" t="s">
        <v>24</v>
      </c>
      <c r="C15" s="75" t="s">
        <v>2</v>
      </c>
      <c r="D15" s="75" t="s">
        <v>25</v>
      </c>
      <c r="E15" s="75" t="s">
        <v>3</v>
      </c>
      <c r="F15" s="75" t="s">
        <v>55</v>
      </c>
      <c r="G15" s="75" t="s">
        <v>56</v>
      </c>
      <c r="H15" s="75" t="s">
        <v>27</v>
      </c>
      <c r="I15" s="75" t="s">
        <v>47</v>
      </c>
      <c r="J15" s="75" t="s">
        <v>28</v>
      </c>
      <c r="K15" s="75" t="s">
        <v>9</v>
      </c>
    </row>
    <row r="16" spans="1:13" ht="89.25" x14ac:dyDescent="0.25">
      <c r="A16" s="65">
        <v>1</v>
      </c>
      <c r="B16" s="65" t="s">
        <v>481</v>
      </c>
      <c r="C16" s="65" t="s">
        <v>36</v>
      </c>
      <c r="D16" s="65">
        <v>1</v>
      </c>
      <c r="E16" s="65" t="s">
        <v>7</v>
      </c>
      <c r="F16" s="65">
        <f>+K14</f>
        <v>50000000</v>
      </c>
      <c r="G16" s="65">
        <f>D16*F16</f>
        <v>50000000</v>
      </c>
      <c r="H16" s="65" t="s">
        <v>37</v>
      </c>
      <c r="I16" s="65" t="s">
        <v>541</v>
      </c>
      <c r="J16" s="65" t="s">
        <v>32</v>
      </c>
      <c r="K16" s="65" t="s">
        <v>456</v>
      </c>
    </row>
    <row r="20" spans="1:11" ht="15.75" x14ac:dyDescent="0.25">
      <c r="A20" s="96" t="s">
        <v>569</v>
      </c>
      <c r="B20" s="98"/>
      <c r="C20" s="98"/>
      <c r="D20" s="98"/>
      <c r="E20" s="98"/>
      <c r="F20" s="98"/>
      <c r="G20" s="98"/>
      <c r="H20" s="98"/>
      <c r="I20" s="98"/>
      <c r="J20" s="98"/>
      <c r="K20" s="103"/>
    </row>
    <row r="21" spans="1:11" ht="15.75" x14ac:dyDescent="0.25">
      <c r="A21" s="73" t="s">
        <v>557</v>
      </c>
      <c r="B21" s="73"/>
      <c r="C21" s="73"/>
      <c r="D21" s="40"/>
      <c r="E21" s="40"/>
      <c r="F21" s="40"/>
      <c r="G21" s="40"/>
      <c r="H21" s="40"/>
      <c r="I21" s="38" t="s">
        <v>54</v>
      </c>
      <c r="J21" s="39"/>
      <c r="K21" s="54">
        <v>50000000</v>
      </c>
    </row>
    <row r="22" spans="1:11" ht="51" x14ac:dyDescent="0.25">
      <c r="A22" s="75" t="s">
        <v>0</v>
      </c>
      <c r="B22" s="75" t="s">
        <v>24</v>
      </c>
      <c r="C22" s="75" t="s">
        <v>2</v>
      </c>
      <c r="D22" s="75" t="s">
        <v>25</v>
      </c>
      <c r="E22" s="75" t="s">
        <v>3</v>
      </c>
      <c r="F22" s="75" t="s">
        <v>55</v>
      </c>
      <c r="G22" s="75" t="s">
        <v>56</v>
      </c>
      <c r="H22" s="75" t="s">
        <v>27</v>
      </c>
      <c r="I22" s="75" t="s">
        <v>47</v>
      </c>
      <c r="J22" s="75" t="s">
        <v>28</v>
      </c>
      <c r="K22" s="75" t="s">
        <v>9</v>
      </c>
    </row>
    <row r="23" spans="1:11" ht="102" x14ac:dyDescent="0.25">
      <c r="A23" s="65">
        <v>1</v>
      </c>
      <c r="B23" s="65" t="s">
        <v>482</v>
      </c>
      <c r="C23" s="65" t="s">
        <v>36</v>
      </c>
      <c r="D23" s="65">
        <v>1</v>
      </c>
      <c r="E23" s="65" t="s">
        <v>7</v>
      </c>
      <c r="F23" s="65">
        <f>+K21</f>
        <v>50000000</v>
      </c>
      <c r="G23" s="65">
        <f>D23*F23</f>
        <v>50000000</v>
      </c>
      <c r="H23" s="65" t="s">
        <v>37</v>
      </c>
      <c r="I23" s="65" t="s">
        <v>541</v>
      </c>
      <c r="J23" s="65" t="s">
        <v>32</v>
      </c>
      <c r="K23" s="65" t="s">
        <v>456</v>
      </c>
    </row>
    <row r="26" spans="1:11" ht="15.75" x14ac:dyDescent="0.25">
      <c r="A26" s="96" t="s">
        <v>569</v>
      </c>
      <c r="B26" s="98"/>
      <c r="C26" s="98"/>
      <c r="D26" s="98"/>
      <c r="E26" s="98"/>
      <c r="F26" s="98"/>
      <c r="G26" s="98"/>
      <c r="H26" s="98"/>
      <c r="I26" s="98"/>
      <c r="J26" s="98"/>
      <c r="K26" s="103"/>
    </row>
    <row r="27" spans="1:11" ht="15.75" x14ac:dyDescent="0.25">
      <c r="A27" s="73" t="s">
        <v>558</v>
      </c>
      <c r="B27" s="73"/>
      <c r="C27" s="73"/>
      <c r="D27" s="40"/>
      <c r="E27" s="40"/>
      <c r="F27" s="40"/>
      <c r="G27" s="40"/>
      <c r="H27" s="40"/>
      <c r="I27" s="38" t="s">
        <v>54</v>
      </c>
      <c r="J27" s="39"/>
      <c r="K27" s="54">
        <v>40000000</v>
      </c>
    </row>
    <row r="28" spans="1:11" ht="51" x14ac:dyDescent="0.25">
      <c r="A28" s="75" t="s">
        <v>0</v>
      </c>
      <c r="B28" s="75" t="s">
        <v>24</v>
      </c>
      <c r="C28" s="75" t="s">
        <v>2</v>
      </c>
      <c r="D28" s="75" t="s">
        <v>25</v>
      </c>
      <c r="E28" s="75" t="s">
        <v>3</v>
      </c>
      <c r="F28" s="75" t="s">
        <v>55</v>
      </c>
      <c r="G28" s="75" t="s">
        <v>56</v>
      </c>
      <c r="H28" s="75" t="s">
        <v>27</v>
      </c>
      <c r="I28" s="75" t="s">
        <v>47</v>
      </c>
      <c r="J28" s="75" t="s">
        <v>28</v>
      </c>
      <c r="K28" s="75" t="s">
        <v>9</v>
      </c>
    </row>
    <row r="29" spans="1:11" ht="51" x14ac:dyDescent="0.25">
      <c r="A29" s="65">
        <v>1</v>
      </c>
      <c r="B29" s="65" t="s">
        <v>505</v>
      </c>
      <c r="C29" s="65" t="s">
        <v>36</v>
      </c>
      <c r="D29" s="65">
        <v>1</v>
      </c>
      <c r="E29" s="65" t="s">
        <v>7</v>
      </c>
      <c r="F29" s="65">
        <f>+K27</f>
        <v>40000000</v>
      </c>
      <c r="G29" s="65">
        <f>D29*F29</f>
        <v>40000000</v>
      </c>
      <c r="H29" s="65" t="s">
        <v>37</v>
      </c>
      <c r="I29" s="65" t="s">
        <v>541</v>
      </c>
      <c r="J29" s="65" t="s">
        <v>32</v>
      </c>
      <c r="K29" s="65" t="s">
        <v>456</v>
      </c>
    </row>
    <row r="32" spans="1:11" ht="15.75" x14ac:dyDescent="0.25">
      <c r="A32" s="96" t="s">
        <v>569</v>
      </c>
      <c r="B32" s="98"/>
      <c r="C32" s="98"/>
      <c r="D32" s="98"/>
      <c r="E32" s="98"/>
      <c r="F32" s="98"/>
      <c r="G32" s="98"/>
      <c r="H32" s="98"/>
      <c r="I32" s="98"/>
      <c r="J32" s="98"/>
      <c r="K32" s="103"/>
    </row>
    <row r="33" spans="1:11" ht="15.75" x14ac:dyDescent="0.25">
      <c r="A33" s="73" t="s">
        <v>559</v>
      </c>
      <c r="B33" s="73"/>
      <c r="C33" s="73"/>
      <c r="D33" s="40"/>
      <c r="E33" s="40"/>
      <c r="F33" s="40"/>
      <c r="G33" s="40"/>
      <c r="H33" s="40"/>
      <c r="I33" s="38" t="s">
        <v>468</v>
      </c>
      <c r="J33" s="39"/>
      <c r="K33" s="54">
        <v>20000000</v>
      </c>
    </row>
    <row r="34" spans="1:11" ht="51" x14ac:dyDescent="0.25">
      <c r="A34" s="75" t="s">
        <v>0</v>
      </c>
      <c r="B34" s="75" t="s">
        <v>24</v>
      </c>
      <c r="C34" s="75" t="s">
        <v>2</v>
      </c>
      <c r="D34" s="75" t="s">
        <v>25</v>
      </c>
      <c r="E34" s="75" t="s">
        <v>3</v>
      </c>
      <c r="F34" s="75" t="s">
        <v>55</v>
      </c>
      <c r="G34" s="75" t="s">
        <v>56</v>
      </c>
      <c r="H34" s="75" t="s">
        <v>27</v>
      </c>
      <c r="I34" s="75" t="s">
        <v>47</v>
      </c>
      <c r="J34" s="75" t="s">
        <v>28</v>
      </c>
      <c r="K34" s="75" t="s">
        <v>9</v>
      </c>
    </row>
    <row r="35" spans="1:11" ht="63.75" x14ac:dyDescent="0.25">
      <c r="A35" s="65">
        <v>1</v>
      </c>
      <c r="B35" s="65" t="s">
        <v>506</v>
      </c>
      <c r="C35" s="65" t="s">
        <v>36</v>
      </c>
      <c r="D35" s="65">
        <v>1</v>
      </c>
      <c r="E35" s="65" t="s">
        <v>7</v>
      </c>
      <c r="F35" s="65">
        <f>+K33</f>
        <v>20000000</v>
      </c>
      <c r="G35" s="65">
        <f>D35*F35</f>
        <v>20000000</v>
      </c>
      <c r="H35" s="65" t="s">
        <v>37</v>
      </c>
      <c r="I35" s="65" t="s">
        <v>551</v>
      </c>
      <c r="J35" s="65" t="s">
        <v>32</v>
      </c>
      <c r="K35" s="65" t="s">
        <v>456</v>
      </c>
    </row>
    <row r="38" spans="1:11" ht="15.75" x14ac:dyDescent="0.25">
      <c r="A38" s="96" t="s">
        <v>569</v>
      </c>
      <c r="B38" s="98"/>
      <c r="C38" s="98"/>
      <c r="D38" s="98"/>
      <c r="E38" s="98"/>
      <c r="F38" s="98"/>
      <c r="G38" s="98"/>
      <c r="H38" s="98"/>
      <c r="I38" s="98"/>
      <c r="J38" s="98"/>
      <c r="K38" s="103"/>
    </row>
    <row r="39" spans="1:11" ht="15.75" x14ac:dyDescent="0.25">
      <c r="A39" s="73" t="s">
        <v>560</v>
      </c>
      <c r="B39" s="73"/>
      <c r="C39" s="73"/>
      <c r="D39" s="40"/>
      <c r="E39" s="40"/>
      <c r="F39" s="40"/>
      <c r="G39" s="40"/>
      <c r="H39" s="40"/>
      <c r="I39" s="38" t="s">
        <v>468</v>
      </c>
      <c r="J39" s="39"/>
      <c r="K39" s="54">
        <v>20000000</v>
      </c>
    </row>
    <row r="40" spans="1:11" ht="51" x14ac:dyDescent="0.25">
      <c r="A40" s="75" t="s">
        <v>0</v>
      </c>
      <c r="B40" s="75" t="s">
        <v>24</v>
      </c>
      <c r="C40" s="75" t="s">
        <v>2</v>
      </c>
      <c r="D40" s="75" t="s">
        <v>25</v>
      </c>
      <c r="E40" s="75" t="s">
        <v>3</v>
      </c>
      <c r="F40" s="75" t="s">
        <v>55</v>
      </c>
      <c r="G40" s="75" t="s">
        <v>56</v>
      </c>
      <c r="H40" s="75" t="s">
        <v>27</v>
      </c>
      <c r="I40" s="75" t="s">
        <v>47</v>
      </c>
      <c r="J40" s="75" t="s">
        <v>28</v>
      </c>
      <c r="K40" s="75" t="s">
        <v>9</v>
      </c>
    </row>
    <row r="41" spans="1:11" ht="89.25" x14ac:dyDescent="0.25">
      <c r="A41" s="65">
        <v>1</v>
      </c>
      <c r="B41" s="65" t="s">
        <v>507</v>
      </c>
      <c r="C41" s="65" t="s">
        <v>57</v>
      </c>
      <c r="D41" s="65">
        <v>1</v>
      </c>
      <c r="E41" s="65" t="s">
        <v>7</v>
      </c>
      <c r="F41" s="65">
        <f>+K39</f>
        <v>20000000</v>
      </c>
      <c r="G41" s="65">
        <f>D41*F41</f>
        <v>20000000</v>
      </c>
      <c r="H41" s="65" t="s">
        <v>37</v>
      </c>
      <c r="I41" s="65" t="s">
        <v>551</v>
      </c>
      <c r="J41" s="65" t="s">
        <v>32</v>
      </c>
      <c r="K41" s="65" t="s">
        <v>456</v>
      </c>
    </row>
  </sheetData>
  <mergeCells count="7">
    <mergeCell ref="A13:K13"/>
    <mergeCell ref="A20:K20"/>
    <mergeCell ref="A1:K1"/>
    <mergeCell ref="A7:K7"/>
    <mergeCell ref="A38:K38"/>
    <mergeCell ref="A26:K26"/>
    <mergeCell ref="A32:K3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4"/>
  <sheetViews>
    <sheetView workbookViewId="0">
      <selection activeCell="P23" sqref="P23"/>
    </sheetView>
  </sheetViews>
  <sheetFormatPr baseColWidth="10" defaultRowHeight="15" x14ac:dyDescent="0.25"/>
  <cols>
    <col min="2" max="2" width="21.85546875" customWidth="1"/>
    <col min="3" max="3" width="17.85546875" customWidth="1"/>
    <col min="6" max="7" width="11.7109375" bestFit="1" customWidth="1"/>
    <col min="11" max="11" width="18.5703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73" t="s">
        <v>561</v>
      </c>
      <c r="B2" s="71"/>
      <c r="C2" s="74"/>
      <c r="D2" s="40"/>
      <c r="E2" s="40"/>
      <c r="F2" s="40"/>
      <c r="G2" s="40"/>
      <c r="H2" s="40"/>
      <c r="I2" s="38" t="s">
        <v>54</v>
      </c>
      <c r="J2" s="39"/>
      <c r="K2" s="54">
        <v>50000000</v>
      </c>
    </row>
    <row r="3" spans="1:11" ht="63.75" x14ac:dyDescent="0.25">
      <c r="A3" s="75" t="s">
        <v>0</v>
      </c>
      <c r="B3" s="75" t="s">
        <v>24</v>
      </c>
      <c r="C3" s="75" t="s">
        <v>2</v>
      </c>
      <c r="D3" s="75" t="s">
        <v>25</v>
      </c>
      <c r="E3" s="75" t="s">
        <v>3</v>
      </c>
      <c r="F3" s="75" t="s">
        <v>55</v>
      </c>
      <c r="G3" s="75" t="s">
        <v>56</v>
      </c>
      <c r="H3" s="75" t="s">
        <v>27</v>
      </c>
      <c r="I3" s="75" t="s">
        <v>47</v>
      </c>
      <c r="J3" s="75" t="s">
        <v>28</v>
      </c>
      <c r="K3" s="75" t="s">
        <v>9</v>
      </c>
    </row>
    <row r="4" spans="1:11" ht="89.25" x14ac:dyDescent="0.25">
      <c r="A4" s="65">
        <v>1</v>
      </c>
      <c r="B4" s="65" t="s">
        <v>509</v>
      </c>
      <c r="C4" s="65" t="s">
        <v>508</v>
      </c>
      <c r="D4" s="65">
        <v>1</v>
      </c>
      <c r="E4" s="65" t="s">
        <v>7</v>
      </c>
      <c r="F4" s="65">
        <f>+K2</f>
        <v>50000000</v>
      </c>
      <c r="G4" s="65">
        <f>+F4</f>
        <v>50000000</v>
      </c>
      <c r="H4" s="65" t="s">
        <v>37</v>
      </c>
      <c r="I4" s="65" t="s">
        <v>541</v>
      </c>
      <c r="J4" s="65" t="s">
        <v>32</v>
      </c>
      <c r="K4" s="65" t="s">
        <v>512</v>
      </c>
    </row>
    <row r="8" spans="1:11" ht="15.75" x14ac:dyDescent="0.25">
      <c r="A8" s="96" t="s">
        <v>569</v>
      </c>
      <c r="B8" s="98"/>
      <c r="C8" s="98"/>
      <c r="D8" s="98"/>
      <c r="E8" s="98"/>
      <c r="F8" s="98"/>
      <c r="G8" s="98"/>
      <c r="H8" s="98"/>
      <c r="I8" s="98"/>
      <c r="J8" s="98"/>
      <c r="K8" s="103"/>
    </row>
    <row r="9" spans="1:11" ht="15.75" x14ac:dyDescent="0.25">
      <c r="A9" s="73" t="s">
        <v>562</v>
      </c>
      <c r="B9" s="71"/>
      <c r="C9" s="74"/>
      <c r="D9" s="40"/>
      <c r="E9" s="40"/>
      <c r="F9" s="40"/>
      <c r="G9" s="40"/>
      <c r="H9" s="40"/>
      <c r="I9" s="38" t="s">
        <v>54</v>
      </c>
      <c r="J9" s="39"/>
      <c r="K9" s="54">
        <v>200000000</v>
      </c>
    </row>
    <row r="10" spans="1:11" ht="63.75" x14ac:dyDescent="0.25">
      <c r="A10" s="75" t="s">
        <v>0</v>
      </c>
      <c r="B10" s="75" t="s">
        <v>24</v>
      </c>
      <c r="C10" s="75" t="s">
        <v>2</v>
      </c>
      <c r="D10" s="75" t="s">
        <v>25</v>
      </c>
      <c r="E10" s="75" t="s">
        <v>3</v>
      </c>
      <c r="F10" s="75" t="s">
        <v>55</v>
      </c>
      <c r="G10" s="75" t="s">
        <v>56</v>
      </c>
      <c r="H10" s="75" t="s">
        <v>27</v>
      </c>
      <c r="I10" s="75" t="s">
        <v>47</v>
      </c>
      <c r="J10" s="75" t="s">
        <v>28</v>
      </c>
      <c r="K10" s="75" t="s">
        <v>9</v>
      </c>
    </row>
    <row r="11" spans="1:11" ht="63.75" x14ac:dyDescent="0.25">
      <c r="A11" s="65">
        <v>1</v>
      </c>
      <c r="B11" s="65" t="s">
        <v>510</v>
      </c>
      <c r="C11" s="65" t="s">
        <v>58</v>
      </c>
      <c r="D11" s="65">
        <v>1</v>
      </c>
      <c r="E11" s="65" t="s">
        <v>7</v>
      </c>
      <c r="F11" s="65">
        <f>+K9</f>
        <v>200000000</v>
      </c>
      <c r="G11" s="65">
        <f>+F11</f>
        <v>200000000</v>
      </c>
      <c r="H11" s="65" t="s">
        <v>37</v>
      </c>
      <c r="I11" s="65" t="s">
        <v>541</v>
      </c>
      <c r="J11" s="65" t="s">
        <v>32</v>
      </c>
      <c r="K11" s="65" t="s">
        <v>512</v>
      </c>
    </row>
    <row r="14" spans="1:11" ht="15.75" x14ac:dyDescent="0.25">
      <c r="A14" s="96" t="s">
        <v>569</v>
      </c>
      <c r="B14" s="98"/>
      <c r="C14" s="98"/>
      <c r="D14" s="98"/>
      <c r="E14" s="98"/>
      <c r="F14" s="98"/>
      <c r="G14" s="98"/>
      <c r="H14" s="98"/>
      <c r="I14" s="98"/>
      <c r="J14" s="98"/>
      <c r="K14" s="103"/>
    </row>
    <row r="15" spans="1:11" ht="15.75" x14ac:dyDescent="0.25">
      <c r="A15" s="38" t="s">
        <v>563</v>
      </c>
      <c r="B15" s="39"/>
      <c r="C15" s="79"/>
      <c r="D15" s="40"/>
      <c r="E15" s="40"/>
      <c r="F15" s="40"/>
      <c r="G15" s="40"/>
      <c r="H15" s="40"/>
      <c r="I15" s="38" t="s">
        <v>54</v>
      </c>
      <c r="J15" s="39"/>
      <c r="K15" s="54">
        <v>120000000</v>
      </c>
    </row>
    <row r="16" spans="1:11" ht="63.75" x14ac:dyDescent="0.25">
      <c r="A16" s="75" t="s">
        <v>0</v>
      </c>
      <c r="B16" s="75" t="s">
        <v>24</v>
      </c>
      <c r="C16" s="75" t="s">
        <v>2</v>
      </c>
      <c r="D16" s="75" t="s">
        <v>25</v>
      </c>
      <c r="E16" s="75" t="s">
        <v>3</v>
      </c>
      <c r="F16" s="75" t="s">
        <v>55</v>
      </c>
      <c r="G16" s="75" t="s">
        <v>56</v>
      </c>
      <c r="H16" s="75" t="s">
        <v>27</v>
      </c>
      <c r="I16" s="75" t="s">
        <v>47</v>
      </c>
      <c r="J16" s="75" t="s">
        <v>28</v>
      </c>
      <c r="K16" s="75" t="s">
        <v>9</v>
      </c>
    </row>
    <row r="17" spans="1:11" ht="63.75" x14ac:dyDescent="0.25">
      <c r="A17" s="65">
        <v>1</v>
      </c>
      <c r="B17" s="65" t="s">
        <v>511</v>
      </c>
      <c r="C17" s="65" t="s">
        <v>59</v>
      </c>
      <c r="D17" s="65">
        <v>1</v>
      </c>
      <c r="E17" s="65" t="s">
        <v>7</v>
      </c>
      <c r="F17" s="65">
        <f>+K15</f>
        <v>120000000</v>
      </c>
      <c r="G17" s="65">
        <f>+F17</f>
        <v>120000000</v>
      </c>
      <c r="H17" s="65" t="s">
        <v>37</v>
      </c>
      <c r="I17" s="65" t="s">
        <v>541</v>
      </c>
      <c r="J17" s="65" t="s">
        <v>32</v>
      </c>
      <c r="K17" s="65" t="s">
        <v>512</v>
      </c>
    </row>
    <row r="21" spans="1:11" ht="15.75" x14ac:dyDescent="0.25">
      <c r="A21" s="96" t="s">
        <v>569</v>
      </c>
      <c r="B21" s="98"/>
      <c r="C21" s="98"/>
      <c r="D21" s="98"/>
      <c r="E21" s="98"/>
      <c r="F21" s="98"/>
      <c r="G21" s="98"/>
      <c r="H21" s="98"/>
      <c r="I21" s="98"/>
      <c r="J21" s="98"/>
      <c r="K21" s="103"/>
    </row>
    <row r="22" spans="1:11" ht="15.75" x14ac:dyDescent="0.25">
      <c r="A22" s="73" t="s">
        <v>564</v>
      </c>
      <c r="B22" s="71"/>
      <c r="C22" s="74"/>
      <c r="D22" s="40"/>
      <c r="E22" s="40"/>
      <c r="F22" s="40"/>
      <c r="G22" s="40"/>
      <c r="H22" s="40"/>
      <c r="I22" s="38" t="s">
        <v>54</v>
      </c>
      <c r="J22" s="39"/>
      <c r="K22" s="54">
        <v>0</v>
      </c>
    </row>
    <row r="23" spans="1:11" ht="63.75" x14ac:dyDescent="0.25">
      <c r="A23" s="75" t="s">
        <v>0</v>
      </c>
      <c r="B23" s="75" t="s">
        <v>24</v>
      </c>
      <c r="C23" s="75" t="s">
        <v>2</v>
      </c>
      <c r="D23" s="75" t="s">
        <v>25</v>
      </c>
      <c r="E23" s="75" t="s">
        <v>3</v>
      </c>
      <c r="F23" s="75" t="s">
        <v>55</v>
      </c>
      <c r="G23" s="75" t="s">
        <v>56</v>
      </c>
      <c r="H23" s="75" t="s">
        <v>27</v>
      </c>
      <c r="I23" s="75" t="s">
        <v>47</v>
      </c>
      <c r="J23" s="75" t="s">
        <v>28</v>
      </c>
      <c r="K23" s="75" t="s">
        <v>9</v>
      </c>
    </row>
    <row r="24" spans="1:11" ht="63.75" x14ac:dyDescent="0.25">
      <c r="A24" s="65">
        <v>1</v>
      </c>
      <c r="B24" s="65" t="s">
        <v>60</v>
      </c>
      <c r="C24" s="65" t="s">
        <v>61</v>
      </c>
      <c r="D24" s="65">
        <v>1</v>
      </c>
      <c r="E24" s="65" t="s">
        <v>7</v>
      </c>
      <c r="F24" s="65">
        <f>+K22</f>
        <v>0</v>
      </c>
      <c r="G24" s="65">
        <f>+F24</f>
        <v>0</v>
      </c>
      <c r="H24" s="65" t="s">
        <v>37</v>
      </c>
      <c r="I24" s="65" t="s">
        <v>541</v>
      </c>
      <c r="J24" s="65" t="s">
        <v>32</v>
      </c>
      <c r="K24" s="65" t="s">
        <v>512</v>
      </c>
    </row>
  </sheetData>
  <mergeCells count="4">
    <mergeCell ref="A14:K14"/>
    <mergeCell ref="A21:K21"/>
    <mergeCell ref="A1:K1"/>
    <mergeCell ref="A8:K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20"/>
  <sheetViews>
    <sheetView workbookViewId="0">
      <selection activeCell="G18" sqref="G18"/>
    </sheetView>
  </sheetViews>
  <sheetFormatPr baseColWidth="10" defaultRowHeight="15" x14ac:dyDescent="0.25"/>
  <cols>
    <col min="6" max="7" width="14.140625" bestFit="1" customWidth="1"/>
    <col min="11" max="11" width="21.5703125" bestFit="1" customWidth="1"/>
  </cols>
  <sheetData>
    <row r="1" spans="1:11" ht="15.75" customHeight="1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73" t="s">
        <v>565</v>
      </c>
      <c r="B2" s="39"/>
      <c r="C2" s="39"/>
      <c r="D2" s="81"/>
      <c r="E2" s="81"/>
      <c r="F2" s="81"/>
      <c r="G2" s="81"/>
      <c r="H2" s="39" t="s">
        <v>54</v>
      </c>
      <c r="I2" s="39"/>
      <c r="J2" s="39"/>
      <c r="K2" s="54">
        <v>13521039396</v>
      </c>
    </row>
    <row r="3" spans="1:11" ht="51" x14ac:dyDescent="0.25">
      <c r="A3" s="75" t="s">
        <v>42</v>
      </c>
      <c r="B3" s="75" t="s">
        <v>43</v>
      </c>
      <c r="C3" s="75" t="s">
        <v>44</v>
      </c>
      <c r="D3" s="75" t="s">
        <v>25</v>
      </c>
      <c r="E3" s="75" t="s">
        <v>45</v>
      </c>
      <c r="F3" s="75" t="s">
        <v>8</v>
      </c>
      <c r="G3" s="75" t="s">
        <v>46</v>
      </c>
      <c r="H3" s="75" t="s">
        <v>27</v>
      </c>
      <c r="I3" s="75" t="s">
        <v>47</v>
      </c>
      <c r="J3" s="75" t="s">
        <v>48</v>
      </c>
      <c r="K3" s="75"/>
    </row>
    <row r="4" spans="1:11" ht="216.75" x14ac:dyDescent="0.25">
      <c r="A4" s="65">
        <v>1</v>
      </c>
      <c r="B4" s="65" t="s">
        <v>515</v>
      </c>
      <c r="C4" s="65" t="s">
        <v>513</v>
      </c>
      <c r="D4" s="65">
        <v>1</v>
      </c>
      <c r="E4" s="65" t="s">
        <v>7</v>
      </c>
      <c r="F4" s="65">
        <f>+K2</f>
        <v>13521039396</v>
      </c>
      <c r="G4" s="65">
        <f>+F4</f>
        <v>13521039396</v>
      </c>
      <c r="H4" s="65" t="s">
        <v>37</v>
      </c>
      <c r="I4" s="65" t="s">
        <v>566</v>
      </c>
      <c r="J4" s="65" t="s">
        <v>32</v>
      </c>
      <c r="K4" s="65" t="s">
        <v>516</v>
      </c>
    </row>
    <row r="5" spans="1:11" x14ac:dyDescent="0.25">
      <c r="A5" s="33"/>
      <c r="B5" s="34"/>
      <c r="C5" s="34"/>
      <c r="D5" s="33"/>
      <c r="E5" s="33"/>
      <c r="F5" s="34"/>
      <c r="G5" s="34"/>
      <c r="H5" s="33"/>
      <c r="I5" s="33"/>
      <c r="J5" s="33"/>
      <c r="K5" s="33"/>
    </row>
    <row r="6" spans="1:11" x14ac:dyDescent="0.25">
      <c r="A6" s="33"/>
      <c r="B6" s="34"/>
      <c r="C6" s="34"/>
      <c r="D6" s="33"/>
      <c r="E6" s="33"/>
      <c r="F6" s="34"/>
      <c r="G6" s="34"/>
      <c r="H6" s="33"/>
      <c r="I6" s="33"/>
      <c r="J6" s="33"/>
      <c r="K6" s="33"/>
    </row>
    <row r="7" spans="1:11" x14ac:dyDescent="0.25">
      <c r="A7" s="33"/>
      <c r="B7" s="34"/>
      <c r="C7" s="34"/>
      <c r="D7" s="33"/>
      <c r="E7" s="33"/>
      <c r="F7" s="34"/>
      <c r="G7" s="34"/>
      <c r="H7" s="33"/>
      <c r="I7" s="33"/>
      <c r="J7" s="33"/>
      <c r="K7" s="33"/>
    </row>
    <row r="8" spans="1:11" ht="15.75" customHeight="1" x14ac:dyDescent="0.25">
      <c r="A8" s="96" t="s">
        <v>569</v>
      </c>
      <c r="B8" s="98"/>
      <c r="C8" s="98"/>
      <c r="D8" s="98"/>
      <c r="E8" s="98"/>
      <c r="F8" s="98"/>
      <c r="G8" s="98"/>
      <c r="H8" s="98"/>
      <c r="I8" s="98"/>
      <c r="J8" s="98"/>
      <c r="K8" s="103"/>
    </row>
    <row r="9" spans="1:11" ht="15.75" x14ac:dyDescent="0.25">
      <c r="A9" s="38" t="s">
        <v>568</v>
      </c>
      <c r="B9" s="39"/>
      <c r="C9" s="79"/>
      <c r="D9" s="80"/>
      <c r="E9" s="81"/>
      <c r="F9" s="81"/>
      <c r="G9" s="82"/>
      <c r="H9" s="38" t="s">
        <v>54</v>
      </c>
      <c r="I9" s="39"/>
      <c r="J9" s="39"/>
      <c r="K9" s="54">
        <v>3061825667</v>
      </c>
    </row>
    <row r="10" spans="1:11" ht="51" x14ac:dyDescent="0.25">
      <c r="A10" s="75" t="s">
        <v>42</v>
      </c>
      <c r="B10" s="75" t="s">
        <v>43</v>
      </c>
      <c r="C10" s="75" t="s">
        <v>44</v>
      </c>
      <c r="D10" s="75" t="s">
        <v>25</v>
      </c>
      <c r="E10" s="75" t="s">
        <v>45</v>
      </c>
      <c r="F10" s="75" t="s">
        <v>8</v>
      </c>
      <c r="G10" s="75" t="s">
        <v>46</v>
      </c>
      <c r="H10" s="75" t="s">
        <v>27</v>
      </c>
      <c r="I10" s="75" t="s">
        <v>47</v>
      </c>
      <c r="J10" s="75" t="s">
        <v>48</v>
      </c>
      <c r="K10" s="75"/>
    </row>
    <row r="11" spans="1:11" ht="153" x14ac:dyDescent="0.25">
      <c r="A11" s="65">
        <v>1</v>
      </c>
      <c r="B11" s="65" t="s">
        <v>514</v>
      </c>
      <c r="C11" s="65" t="s">
        <v>49</v>
      </c>
      <c r="D11" s="65">
        <v>1</v>
      </c>
      <c r="E11" s="65" t="s">
        <v>7</v>
      </c>
      <c r="F11" s="65">
        <f>+K9</f>
        <v>3061825667</v>
      </c>
      <c r="G11" s="65">
        <f>+F11</f>
        <v>3061825667</v>
      </c>
      <c r="H11" s="65" t="s">
        <v>37</v>
      </c>
      <c r="I11" s="65" t="s">
        <v>566</v>
      </c>
      <c r="J11" s="65" t="s">
        <v>32</v>
      </c>
      <c r="K11" s="65" t="s">
        <v>517</v>
      </c>
    </row>
    <row r="13" spans="1:11" x14ac:dyDescent="0.25">
      <c r="A13" s="33"/>
      <c r="B13" s="35"/>
      <c r="C13" s="34"/>
      <c r="D13" s="33"/>
      <c r="E13" s="33"/>
      <c r="F13" s="36"/>
      <c r="G13" s="36"/>
      <c r="H13" s="33"/>
      <c r="I13" s="35"/>
      <c r="J13" s="33"/>
      <c r="K13" s="35"/>
    </row>
    <row r="15" spans="1:11" ht="15.75" customHeight="1" x14ac:dyDescent="0.25">
      <c r="A15" s="96" t="s">
        <v>569</v>
      </c>
      <c r="B15" s="98"/>
      <c r="C15" s="98"/>
      <c r="D15" s="98"/>
      <c r="E15" s="98"/>
      <c r="F15" s="98"/>
      <c r="G15" s="98"/>
      <c r="H15" s="98"/>
      <c r="I15" s="98"/>
      <c r="J15" s="98"/>
      <c r="K15" s="103"/>
    </row>
    <row r="16" spans="1:11" ht="15.75" x14ac:dyDescent="0.25">
      <c r="A16" s="38" t="s">
        <v>567</v>
      </c>
      <c r="B16" s="39"/>
      <c r="C16" s="79"/>
      <c r="D16" s="80"/>
      <c r="E16" s="81"/>
      <c r="F16" s="81"/>
      <c r="G16" s="82"/>
      <c r="H16" s="38" t="s">
        <v>54</v>
      </c>
      <c r="I16" s="39"/>
      <c r="J16" s="39"/>
      <c r="K16" s="54">
        <v>230200000</v>
      </c>
    </row>
    <row r="17" spans="1:11" ht="51" x14ac:dyDescent="0.25">
      <c r="A17" s="75" t="s">
        <v>42</v>
      </c>
      <c r="B17" s="75" t="s">
        <v>43</v>
      </c>
      <c r="C17" s="75" t="s">
        <v>44</v>
      </c>
      <c r="D17" s="75" t="s">
        <v>25</v>
      </c>
      <c r="E17" s="75" t="s">
        <v>45</v>
      </c>
      <c r="F17" s="75" t="s">
        <v>8</v>
      </c>
      <c r="G17" s="75" t="s">
        <v>46</v>
      </c>
      <c r="H17" s="75" t="s">
        <v>27</v>
      </c>
      <c r="I17" s="75" t="s">
        <v>47</v>
      </c>
      <c r="J17" s="75" t="s">
        <v>48</v>
      </c>
      <c r="K17" s="75"/>
    </row>
    <row r="18" spans="1:11" ht="102" x14ac:dyDescent="0.25">
      <c r="A18" s="65">
        <v>1</v>
      </c>
      <c r="B18" s="65" t="s">
        <v>51</v>
      </c>
      <c r="C18" s="65" t="s">
        <v>52</v>
      </c>
      <c r="D18" s="65">
        <v>1</v>
      </c>
      <c r="E18" s="65" t="s">
        <v>7</v>
      </c>
      <c r="F18" s="65">
        <v>220200000</v>
      </c>
      <c r="G18" s="65">
        <f>+F18</f>
        <v>220200000</v>
      </c>
      <c r="H18" s="65" t="s">
        <v>37</v>
      </c>
      <c r="I18" s="65" t="s">
        <v>551</v>
      </c>
      <c r="J18" s="65" t="s">
        <v>32</v>
      </c>
      <c r="K18" s="65" t="s">
        <v>50</v>
      </c>
    </row>
    <row r="19" spans="1:11" ht="63.75" x14ac:dyDescent="0.25">
      <c r="A19" s="65">
        <v>2</v>
      </c>
      <c r="B19" s="65" t="s">
        <v>53</v>
      </c>
      <c r="C19" s="65" t="s">
        <v>52</v>
      </c>
      <c r="D19" s="65">
        <v>5</v>
      </c>
      <c r="E19" s="65" t="s">
        <v>7</v>
      </c>
      <c r="F19" s="65">
        <v>10000000</v>
      </c>
      <c r="G19" s="65">
        <f>+F19</f>
        <v>10000000</v>
      </c>
      <c r="H19" s="65" t="s">
        <v>37</v>
      </c>
      <c r="I19" s="65" t="s">
        <v>541</v>
      </c>
      <c r="J19" s="65" t="s">
        <v>32</v>
      </c>
      <c r="K19" s="65" t="s">
        <v>50</v>
      </c>
    </row>
    <row r="20" spans="1:11" x14ac:dyDescent="0.25">
      <c r="G20" s="37">
        <f>+G18+G19</f>
        <v>230200000</v>
      </c>
    </row>
  </sheetData>
  <mergeCells count="3">
    <mergeCell ref="A15:K15"/>
    <mergeCell ref="A1:K1"/>
    <mergeCell ref="A8:K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7"/>
  <sheetViews>
    <sheetView workbookViewId="0">
      <selection activeCell="D11" sqref="D11"/>
    </sheetView>
  </sheetViews>
  <sheetFormatPr baseColWidth="10" defaultRowHeight="15" x14ac:dyDescent="0.25"/>
  <cols>
    <col min="1" max="1" width="12" customWidth="1"/>
    <col min="2" max="2" width="28.5703125" customWidth="1"/>
    <col min="3" max="3" width="25.28515625" customWidth="1"/>
    <col min="6" max="6" width="13" bestFit="1" customWidth="1"/>
    <col min="7" max="7" width="14.140625" bestFit="1" customWidth="1"/>
    <col min="8" max="8" width="18.28515625" customWidth="1"/>
    <col min="10" max="10" width="14.140625" bestFit="1" customWidth="1"/>
  </cols>
  <sheetData>
    <row r="1" spans="1:10" ht="15.75" x14ac:dyDescent="0.25">
      <c r="A1" s="96" t="s">
        <v>569</v>
      </c>
      <c r="B1" s="97"/>
      <c r="C1" s="97"/>
      <c r="D1" s="97"/>
      <c r="E1" s="97"/>
      <c r="F1" s="97"/>
      <c r="G1" s="97"/>
      <c r="H1" s="97"/>
    </row>
    <row r="2" spans="1:10" x14ac:dyDescent="0.25">
      <c r="A2" s="99" t="s">
        <v>21</v>
      </c>
      <c r="B2" s="100"/>
      <c r="C2" s="100"/>
      <c r="D2" s="6"/>
      <c r="E2" s="6"/>
      <c r="F2" s="9"/>
      <c r="G2" s="7"/>
      <c r="H2" s="43">
        <v>20000000</v>
      </c>
    </row>
    <row r="3" spans="1:10" ht="38.25" x14ac:dyDescent="0.25">
      <c r="A3" s="19" t="s">
        <v>0</v>
      </c>
      <c r="B3" s="19" t="s">
        <v>1</v>
      </c>
      <c r="C3" s="19" t="s">
        <v>2</v>
      </c>
      <c r="D3" s="19" t="s">
        <v>4</v>
      </c>
      <c r="E3" s="19" t="s">
        <v>3</v>
      </c>
      <c r="F3" s="20" t="s">
        <v>5</v>
      </c>
      <c r="G3" s="19" t="s">
        <v>14</v>
      </c>
      <c r="H3" s="19" t="s">
        <v>6</v>
      </c>
    </row>
    <row r="4" spans="1:10" ht="38.25" x14ac:dyDescent="0.25">
      <c r="A4" s="62">
        <v>1</v>
      </c>
      <c r="B4" s="13" t="s">
        <v>22</v>
      </c>
      <c r="C4" s="13" t="s">
        <v>12</v>
      </c>
      <c r="D4" s="13">
        <v>25</v>
      </c>
      <c r="E4" s="13" t="s">
        <v>13</v>
      </c>
      <c r="F4" s="15">
        <v>320000</v>
      </c>
      <c r="G4" s="65">
        <f>+D4*F4</f>
        <v>8000000</v>
      </c>
      <c r="H4" s="13" t="s">
        <v>16</v>
      </c>
      <c r="I4" s="91"/>
      <c r="J4" s="92"/>
    </row>
    <row r="5" spans="1:10" ht="38.25" x14ac:dyDescent="0.25">
      <c r="A5" s="84">
        <v>2</v>
      </c>
      <c r="B5" s="13" t="s">
        <v>20</v>
      </c>
      <c r="C5" s="84" t="s">
        <v>570</v>
      </c>
      <c r="D5" s="84">
        <v>2</v>
      </c>
      <c r="E5" s="84" t="s">
        <v>13</v>
      </c>
      <c r="F5" s="15">
        <v>6000000</v>
      </c>
      <c r="G5" s="65">
        <f>+D5*F5</f>
        <v>12000000</v>
      </c>
      <c r="H5" s="84" t="s">
        <v>16</v>
      </c>
      <c r="J5" s="90"/>
    </row>
    <row r="6" spans="1:10" x14ac:dyDescent="0.25">
      <c r="G6" s="66"/>
    </row>
    <row r="7" spans="1:10" x14ac:dyDescent="0.25">
      <c r="G7" s="66"/>
    </row>
  </sheetData>
  <mergeCells count="2">
    <mergeCell ref="A1:H1"/>
    <mergeCell ref="A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5"/>
  <sheetViews>
    <sheetView workbookViewId="0">
      <selection activeCell="C31" sqref="C31"/>
    </sheetView>
  </sheetViews>
  <sheetFormatPr baseColWidth="10" defaultRowHeight="15" x14ac:dyDescent="0.25"/>
  <cols>
    <col min="2" max="2" width="43.7109375" customWidth="1"/>
    <col min="3" max="3" width="30.85546875" customWidth="1"/>
    <col min="6" max="6" width="13.5703125" style="11" bestFit="1" customWidth="1"/>
    <col min="7" max="7" width="12.140625" bestFit="1" customWidth="1"/>
    <col min="8" max="8" width="18.140625" customWidth="1"/>
    <col min="10" max="10" width="12" bestFit="1" customWidth="1"/>
  </cols>
  <sheetData>
    <row r="1" spans="1:10" ht="15.75" x14ac:dyDescent="0.25">
      <c r="A1" s="96" t="s">
        <v>569</v>
      </c>
      <c r="B1" s="97"/>
      <c r="C1" s="97"/>
      <c r="D1" s="97"/>
      <c r="E1" s="97"/>
      <c r="F1" s="97"/>
      <c r="G1" s="97"/>
      <c r="H1" s="97"/>
    </row>
    <row r="2" spans="1:10" x14ac:dyDescent="0.25">
      <c r="A2" s="99" t="s">
        <v>483</v>
      </c>
      <c r="B2" s="100"/>
      <c r="C2" s="100"/>
      <c r="D2" s="6"/>
      <c r="E2" s="7"/>
      <c r="F2" s="9"/>
      <c r="G2" s="101">
        <v>5000000</v>
      </c>
      <c r="H2" s="101"/>
    </row>
    <row r="3" spans="1:10" ht="38.25" x14ac:dyDescent="0.25">
      <c r="A3" s="19" t="s">
        <v>0</v>
      </c>
      <c r="B3" s="19" t="s">
        <v>1</v>
      </c>
      <c r="C3" s="19" t="s">
        <v>2</v>
      </c>
      <c r="D3" s="19" t="s">
        <v>3</v>
      </c>
      <c r="E3" s="19" t="s">
        <v>4</v>
      </c>
      <c r="F3" s="20" t="s">
        <v>5</v>
      </c>
      <c r="G3" s="19" t="s">
        <v>14</v>
      </c>
      <c r="H3" s="19" t="s">
        <v>6</v>
      </c>
    </row>
    <row r="4" spans="1:10" ht="38.25" x14ac:dyDescent="0.25">
      <c r="A4" s="62">
        <v>1</v>
      </c>
      <c r="B4" s="62" t="s">
        <v>17</v>
      </c>
      <c r="C4" s="62" t="s">
        <v>12</v>
      </c>
      <c r="D4" s="62" t="s">
        <v>13</v>
      </c>
      <c r="E4" s="62">
        <v>2</v>
      </c>
      <c r="F4" s="15">
        <v>2500000</v>
      </c>
      <c r="G4" s="65">
        <f>+E4*F4</f>
        <v>5000000</v>
      </c>
      <c r="H4" s="62" t="s">
        <v>16</v>
      </c>
      <c r="I4" s="91"/>
      <c r="J4" s="17"/>
    </row>
    <row r="5" spans="1:10" x14ac:dyDescent="0.25">
      <c r="G5" s="12"/>
    </row>
  </sheetData>
  <mergeCells count="3">
    <mergeCell ref="A1:H1"/>
    <mergeCell ref="A2:C2"/>
    <mergeCell ref="G2:H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J11"/>
  <sheetViews>
    <sheetView workbookViewId="0">
      <selection activeCell="G7" sqref="G7"/>
    </sheetView>
  </sheetViews>
  <sheetFormatPr baseColWidth="10" defaultRowHeight="15" x14ac:dyDescent="0.25"/>
  <cols>
    <col min="2" max="2" width="26" customWidth="1"/>
    <col min="3" max="3" width="28.5703125" customWidth="1"/>
    <col min="8" max="8" width="17.42578125" bestFit="1" customWidth="1"/>
    <col min="10" max="10" width="13.140625" bestFit="1" customWidth="1"/>
  </cols>
  <sheetData>
    <row r="1" spans="1:10" ht="15.75" x14ac:dyDescent="0.25">
      <c r="A1" s="96" t="s">
        <v>569</v>
      </c>
      <c r="B1" s="97"/>
      <c r="C1" s="97"/>
      <c r="D1" s="97"/>
      <c r="E1" s="97"/>
      <c r="F1" s="97"/>
      <c r="G1" s="97"/>
      <c r="H1" s="97"/>
    </row>
    <row r="2" spans="1:10" x14ac:dyDescent="0.25">
      <c r="A2" s="99" t="s">
        <v>18</v>
      </c>
      <c r="B2" s="100"/>
      <c r="C2" s="100"/>
      <c r="D2" s="6"/>
      <c r="E2" s="7"/>
      <c r="F2" s="9"/>
      <c r="G2" s="7"/>
      <c r="H2" s="43">
        <v>10000000</v>
      </c>
    </row>
    <row r="3" spans="1:10" ht="38.25" x14ac:dyDescent="0.2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10" t="s">
        <v>5</v>
      </c>
      <c r="G3" s="8" t="s">
        <v>14</v>
      </c>
      <c r="H3" s="8" t="s">
        <v>6</v>
      </c>
    </row>
    <row r="4" spans="1:10" ht="38.25" x14ac:dyDescent="0.25">
      <c r="A4" s="62">
        <v>4</v>
      </c>
      <c r="B4" s="62" t="s">
        <v>571</v>
      </c>
      <c r="C4" s="62" t="s">
        <v>12</v>
      </c>
      <c r="D4" s="62" t="s">
        <v>13</v>
      </c>
      <c r="E4" s="62">
        <v>20</v>
      </c>
      <c r="F4" s="15">
        <v>300000</v>
      </c>
      <c r="G4" s="93">
        <f>+E4*F4</f>
        <v>6000000</v>
      </c>
      <c r="H4" s="62" t="s">
        <v>16</v>
      </c>
      <c r="J4" s="14"/>
    </row>
    <row r="5" spans="1:10" ht="38.25" x14ac:dyDescent="0.25">
      <c r="A5" s="62">
        <v>8</v>
      </c>
      <c r="B5" s="62" t="s">
        <v>19</v>
      </c>
      <c r="C5" s="62" t="s">
        <v>12</v>
      </c>
      <c r="D5" s="62" t="s">
        <v>13</v>
      </c>
      <c r="E5" s="62">
        <v>1</v>
      </c>
      <c r="F5" s="15">
        <v>4000000</v>
      </c>
      <c r="G5" s="93">
        <f>+E5*F5</f>
        <v>4000000</v>
      </c>
      <c r="H5" s="62" t="s">
        <v>572</v>
      </c>
      <c r="I5" s="91"/>
      <c r="J5" s="92"/>
    </row>
    <row r="8" spans="1:10" x14ac:dyDescent="0.25">
      <c r="F8" s="16"/>
    </row>
    <row r="9" spans="1:10" x14ac:dyDescent="0.25">
      <c r="F9" s="16"/>
    </row>
    <row r="10" spans="1:10" x14ac:dyDescent="0.25">
      <c r="F10" s="16"/>
    </row>
    <row r="11" spans="1:10" x14ac:dyDescent="0.25">
      <c r="F11" s="17"/>
    </row>
  </sheetData>
  <mergeCells count="2">
    <mergeCell ref="A1:H1"/>
    <mergeCell ref="A2:C2"/>
  </mergeCells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K36"/>
  <sheetViews>
    <sheetView topLeftCell="A22" workbookViewId="0">
      <selection activeCell="G31" sqref="G31"/>
    </sheetView>
  </sheetViews>
  <sheetFormatPr baseColWidth="10" defaultRowHeight="15" x14ac:dyDescent="0.25"/>
  <cols>
    <col min="2" max="2" width="20.42578125" customWidth="1"/>
    <col min="3" max="3" width="16.7109375" customWidth="1"/>
    <col min="6" max="6" width="12.140625" bestFit="1" customWidth="1"/>
    <col min="7" max="7" width="14.5703125" bestFit="1" customWidth="1"/>
    <col min="11" max="11" width="14.42578125" bestFit="1" customWidth="1"/>
  </cols>
  <sheetData>
    <row r="1" spans="1:11" ht="15.75" x14ac:dyDescent="0.25">
      <c r="A1" s="96" t="s">
        <v>569</v>
      </c>
      <c r="B1" s="97"/>
      <c r="C1" s="97"/>
      <c r="D1" s="97"/>
      <c r="E1" s="97"/>
      <c r="F1" s="97"/>
      <c r="G1" s="97"/>
      <c r="H1" s="97"/>
      <c r="I1" s="97"/>
      <c r="J1" s="97"/>
      <c r="K1" s="102"/>
    </row>
    <row r="2" spans="1:11" ht="15.75" x14ac:dyDescent="0.25">
      <c r="A2" s="64" t="s">
        <v>520</v>
      </c>
      <c r="B2" s="45"/>
      <c r="C2" s="45"/>
      <c r="D2" s="45"/>
      <c r="E2" s="45"/>
      <c r="F2" s="45"/>
      <c r="G2" s="45"/>
      <c r="H2" s="45" t="s">
        <v>91</v>
      </c>
      <c r="I2" s="45"/>
      <c r="J2" s="45"/>
      <c r="K2" s="46">
        <v>10000000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</v>
      </c>
      <c r="G3" s="8" t="s">
        <v>14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63.75" x14ac:dyDescent="0.25">
      <c r="A4" s="83">
        <v>1</v>
      </c>
      <c r="B4" s="83" t="s">
        <v>62</v>
      </c>
      <c r="C4" s="83" t="s">
        <v>63</v>
      </c>
      <c r="D4" s="83">
        <v>8</v>
      </c>
      <c r="E4" s="83" t="s">
        <v>7</v>
      </c>
      <c r="F4" s="65">
        <f>2464*4.5%+2464</f>
        <v>2574.88</v>
      </c>
      <c r="G4" s="94">
        <f>+D4*F4</f>
        <v>20599.04</v>
      </c>
      <c r="H4" s="83" t="s">
        <v>31</v>
      </c>
      <c r="I4" s="83" t="s">
        <v>519</v>
      </c>
      <c r="J4" s="83" t="s">
        <v>32</v>
      </c>
      <c r="K4" s="83" t="s">
        <v>64</v>
      </c>
    </row>
    <row r="5" spans="1:11" ht="76.5" x14ac:dyDescent="0.25">
      <c r="A5" s="83">
        <v>2</v>
      </c>
      <c r="B5" s="83" t="s">
        <v>65</v>
      </c>
      <c r="C5" s="83" t="s">
        <v>63</v>
      </c>
      <c r="D5" s="83">
        <v>8</v>
      </c>
      <c r="E5" s="83" t="s">
        <v>7</v>
      </c>
      <c r="F5" s="65">
        <f>30000*4.5%+30000</f>
        <v>31350</v>
      </c>
      <c r="G5" s="94">
        <f t="shared" ref="G5:G30" si="0">+D5*F5</f>
        <v>250800</v>
      </c>
      <c r="H5" s="83" t="s">
        <v>31</v>
      </c>
      <c r="I5" s="83" t="s">
        <v>519</v>
      </c>
      <c r="J5" s="83" t="s">
        <v>32</v>
      </c>
      <c r="K5" s="83" t="s">
        <v>64</v>
      </c>
    </row>
    <row r="6" spans="1:11" ht="63.75" x14ac:dyDescent="0.25">
      <c r="A6" s="83">
        <v>3</v>
      </c>
      <c r="B6" s="83" t="s">
        <v>66</v>
      </c>
      <c r="C6" s="83" t="s">
        <v>63</v>
      </c>
      <c r="D6" s="83">
        <v>8</v>
      </c>
      <c r="E6" s="83" t="s">
        <v>7</v>
      </c>
      <c r="F6" s="65">
        <f>22170*4.5%+22170</f>
        <v>23167.65</v>
      </c>
      <c r="G6" s="94">
        <f t="shared" si="0"/>
        <v>185341.2</v>
      </c>
      <c r="H6" s="83" t="s">
        <v>31</v>
      </c>
      <c r="I6" s="83" t="s">
        <v>519</v>
      </c>
      <c r="J6" s="83" t="s">
        <v>32</v>
      </c>
      <c r="K6" s="83" t="s">
        <v>64</v>
      </c>
    </row>
    <row r="7" spans="1:11" ht="63.75" x14ac:dyDescent="0.25">
      <c r="A7" s="83">
        <v>4</v>
      </c>
      <c r="B7" s="83" t="s">
        <v>67</v>
      </c>
      <c r="C7" s="83" t="s">
        <v>63</v>
      </c>
      <c r="D7" s="83">
        <v>8</v>
      </c>
      <c r="E7" s="83" t="s">
        <v>7</v>
      </c>
      <c r="F7" s="65">
        <f>46800*4.5%+46800</f>
        <v>48906</v>
      </c>
      <c r="G7" s="94">
        <f t="shared" si="0"/>
        <v>391248</v>
      </c>
      <c r="H7" s="83" t="s">
        <v>31</v>
      </c>
      <c r="I7" s="83" t="s">
        <v>519</v>
      </c>
      <c r="J7" s="83" t="s">
        <v>32</v>
      </c>
      <c r="K7" s="83" t="s">
        <v>64</v>
      </c>
    </row>
    <row r="8" spans="1:11" ht="63.75" x14ac:dyDescent="0.25">
      <c r="A8" s="83">
        <v>5</v>
      </c>
      <c r="B8" s="83" t="s">
        <v>68</v>
      </c>
      <c r="C8" s="83" t="s">
        <v>63</v>
      </c>
      <c r="D8" s="83">
        <v>8</v>
      </c>
      <c r="E8" s="83" t="s">
        <v>7</v>
      </c>
      <c r="F8" s="65">
        <f>24600*4.5%+24600</f>
        <v>25707</v>
      </c>
      <c r="G8" s="94">
        <f t="shared" si="0"/>
        <v>205656</v>
      </c>
      <c r="H8" s="83" t="s">
        <v>31</v>
      </c>
      <c r="I8" s="83" t="s">
        <v>519</v>
      </c>
      <c r="J8" s="83" t="s">
        <v>32</v>
      </c>
      <c r="K8" s="83" t="s">
        <v>64</v>
      </c>
    </row>
    <row r="9" spans="1:11" ht="63.75" x14ac:dyDescent="0.25">
      <c r="A9" s="83">
        <v>6</v>
      </c>
      <c r="B9" s="83" t="s">
        <v>69</v>
      </c>
      <c r="C9" s="83" t="s">
        <v>63</v>
      </c>
      <c r="D9" s="83">
        <v>8</v>
      </c>
      <c r="E9" s="83" t="s">
        <v>7</v>
      </c>
      <c r="F9" s="65">
        <f>18400*4.5%+18400</f>
        <v>19228</v>
      </c>
      <c r="G9" s="94">
        <f t="shared" si="0"/>
        <v>153824</v>
      </c>
      <c r="H9" s="83" t="s">
        <v>31</v>
      </c>
      <c r="I9" s="83" t="s">
        <v>519</v>
      </c>
      <c r="J9" s="83" t="s">
        <v>32</v>
      </c>
      <c r="K9" s="83" t="s">
        <v>64</v>
      </c>
    </row>
    <row r="10" spans="1:11" ht="63.75" x14ac:dyDescent="0.25">
      <c r="A10" s="83">
        <v>7</v>
      </c>
      <c r="B10" s="83" t="s">
        <v>70</v>
      </c>
      <c r="C10" s="83" t="s">
        <v>63</v>
      </c>
      <c r="D10" s="83">
        <v>8</v>
      </c>
      <c r="E10" s="83" t="s">
        <v>7</v>
      </c>
      <c r="F10" s="65">
        <f>24000*4.5%+24000</f>
        <v>25080</v>
      </c>
      <c r="G10" s="94">
        <f t="shared" si="0"/>
        <v>200640</v>
      </c>
      <c r="H10" s="83" t="s">
        <v>31</v>
      </c>
      <c r="I10" s="83" t="s">
        <v>519</v>
      </c>
      <c r="J10" s="83" t="s">
        <v>32</v>
      </c>
      <c r="K10" s="83" t="s">
        <v>64</v>
      </c>
    </row>
    <row r="11" spans="1:11" ht="63.75" x14ac:dyDescent="0.25">
      <c r="A11" s="83">
        <v>8</v>
      </c>
      <c r="B11" s="83" t="s">
        <v>71</v>
      </c>
      <c r="C11" s="83" t="s">
        <v>63</v>
      </c>
      <c r="D11" s="83">
        <v>8</v>
      </c>
      <c r="E11" s="83" t="s">
        <v>7</v>
      </c>
      <c r="F11" s="65">
        <f>24600*4.5%+24600</f>
        <v>25707</v>
      </c>
      <c r="G11" s="94">
        <f t="shared" si="0"/>
        <v>205656</v>
      </c>
      <c r="H11" s="83" t="s">
        <v>31</v>
      </c>
      <c r="I11" s="83" t="s">
        <v>519</v>
      </c>
      <c r="J11" s="83" t="s">
        <v>32</v>
      </c>
      <c r="K11" s="83" t="s">
        <v>64</v>
      </c>
    </row>
    <row r="12" spans="1:11" ht="63.75" x14ac:dyDescent="0.25">
      <c r="A12" s="83">
        <v>9</v>
      </c>
      <c r="B12" s="83" t="s">
        <v>72</v>
      </c>
      <c r="C12" s="83" t="s">
        <v>63</v>
      </c>
      <c r="D12" s="83">
        <v>8</v>
      </c>
      <c r="E12" s="83" t="s">
        <v>7</v>
      </c>
      <c r="F12" s="65">
        <f>24600*4.5%+24600</f>
        <v>25707</v>
      </c>
      <c r="G12" s="94">
        <f t="shared" si="0"/>
        <v>205656</v>
      </c>
      <c r="H12" s="83" t="s">
        <v>31</v>
      </c>
      <c r="I12" s="83" t="s">
        <v>519</v>
      </c>
      <c r="J12" s="83" t="s">
        <v>32</v>
      </c>
      <c r="K12" s="83" t="s">
        <v>64</v>
      </c>
    </row>
    <row r="13" spans="1:11" ht="63.75" x14ac:dyDescent="0.25">
      <c r="A13" s="83">
        <v>10</v>
      </c>
      <c r="B13" s="83" t="s">
        <v>73</v>
      </c>
      <c r="C13" s="83" t="s">
        <v>63</v>
      </c>
      <c r="D13" s="83">
        <v>7</v>
      </c>
      <c r="E13" s="83" t="s">
        <v>7</v>
      </c>
      <c r="F13" s="65">
        <f>+G13/D13</f>
        <v>122059.71428571429</v>
      </c>
      <c r="G13" s="94">
        <v>854418</v>
      </c>
      <c r="H13" s="83" t="s">
        <v>31</v>
      </c>
      <c r="I13" s="83" t="s">
        <v>519</v>
      </c>
      <c r="J13" s="83" t="s">
        <v>32</v>
      </c>
      <c r="K13" s="83" t="s">
        <v>64</v>
      </c>
    </row>
    <row r="14" spans="1:11" ht="63.75" x14ac:dyDescent="0.25">
      <c r="A14" s="83">
        <v>11</v>
      </c>
      <c r="B14" s="83" t="s">
        <v>74</v>
      </c>
      <c r="C14" s="83" t="s">
        <v>63</v>
      </c>
      <c r="D14" s="83">
        <v>8</v>
      </c>
      <c r="E14" s="83" t="s">
        <v>7</v>
      </c>
      <c r="F14" s="65">
        <f>103500*19%+103500</f>
        <v>123165</v>
      </c>
      <c r="G14" s="94">
        <f t="shared" si="0"/>
        <v>985320</v>
      </c>
      <c r="H14" s="83" t="s">
        <v>31</v>
      </c>
      <c r="I14" s="83" t="s">
        <v>519</v>
      </c>
      <c r="J14" s="83" t="s">
        <v>32</v>
      </c>
      <c r="K14" s="83" t="s">
        <v>64</v>
      </c>
    </row>
    <row r="15" spans="1:11" ht="63.75" x14ac:dyDescent="0.25">
      <c r="A15" s="83">
        <v>12</v>
      </c>
      <c r="B15" s="83" t="s">
        <v>75</v>
      </c>
      <c r="C15" s="83" t="s">
        <v>63</v>
      </c>
      <c r="D15" s="83">
        <v>8</v>
      </c>
      <c r="E15" s="83" t="s">
        <v>7</v>
      </c>
      <c r="F15" s="65">
        <f>72450*19%+72450</f>
        <v>86215.5</v>
      </c>
      <c r="G15" s="94">
        <f t="shared" si="0"/>
        <v>689724</v>
      </c>
      <c r="H15" s="83" t="s">
        <v>31</v>
      </c>
      <c r="I15" s="83" t="s">
        <v>519</v>
      </c>
      <c r="J15" s="83" t="s">
        <v>32</v>
      </c>
      <c r="K15" s="83" t="s">
        <v>64</v>
      </c>
    </row>
    <row r="16" spans="1:11" ht="63.75" x14ac:dyDescent="0.25">
      <c r="A16" s="83">
        <v>13</v>
      </c>
      <c r="B16" s="83" t="s">
        <v>76</v>
      </c>
      <c r="C16" s="83" t="s">
        <v>63</v>
      </c>
      <c r="D16" s="83">
        <v>8</v>
      </c>
      <c r="E16" s="83" t="s">
        <v>7</v>
      </c>
      <c r="F16" s="65">
        <f>72450*19%+72450</f>
        <v>86215.5</v>
      </c>
      <c r="G16" s="94">
        <f t="shared" si="0"/>
        <v>689724</v>
      </c>
      <c r="H16" s="83" t="s">
        <v>31</v>
      </c>
      <c r="I16" s="83" t="s">
        <v>519</v>
      </c>
      <c r="J16" s="83" t="s">
        <v>32</v>
      </c>
      <c r="K16" s="83" t="s">
        <v>64</v>
      </c>
    </row>
    <row r="17" spans="1:11" ht="63.75" x14ac:dyDescent="0.25">
      <c r="A17" s="83">
        <v>14</v>
      </c>
      <c r="B17" s="83" t="s">
        <v>77</v>
      </c>
      <c r="C17" s="83" t="s">
        <v>63</v>
      </c>
      <c r="D17" s="83">
        <v>8</v>
      </c>
      <c r="E17" s="83" t="s">
        <v>7</v>
      </c>
      <c r="F17" s="65">
        <f>50000*4.5%+50000</f>
        <v>52250</v>
      </c>
      <c r="G17" s="94">
        <f t="shared" si="0"/>
        <v>418000</v>
      </c>
      <c r="H17" s="83" t="s">
        <v>31</v>
      </c>
      <c r="I17" s="83" t="s">
        <v>519</v>
      </c>
      <c r="J17" s="83" t="s">
        <v>32</v>
      </c>
      <c r="K17" s="83" t="s">
        <v>64</v>
      </c>
    </row>
    <row r="18" spans="1:11" ht="63.75" x14ac:dyDescent="0.25">
      <c r="A18" s="83">
        <v>15</v>
      </c>
      <c r="B18" s="83" t="s">
        <v>78</v>
      </c>
      <c r="C18" s="83" t="s">
        <v>63</v>
      </c>
      <c r="D18" s="83">
        <v>8</v>
      </c>
      <c r="E18" s="83" t="s">
        <v>7</v>
      </c>
      <c r="F18" s="65">
        <f>50000*4.5%+50000</f>
        <v>52250</v>
      </c>
      <c r="G18" s="94">
        <f t="shared" si="0"/>
        <v>418000</v>
      </c>
      <c r="H18" s="83" t="s">
        <v>31</v>
      </c>
      <c r="I18" s="83" t="s">
        <v>519</v>
      </c>
      <c r="J18" s="83" t="s">
        <v>32</v>
      </c>
      <c r="K18" s="83" t="s">
        <v>64</v>
      </c>
    </row>
    <row r="19" spans="1:11" ht="63.75" x14ac:dyDescent="0.25">
      <c r="A19" s="83">
        <v>16</v>
      </c>
      <c r="B19" s="83" t="s">
        <v>79</v>
      </c>
      <c r="C19" s="83" t="s">
        <v>63</v>
      </c>
      <c r="D19" s="83">
        <v>8</v>
      </c>
      <c r="E19" s="83" t="s">
        <v>7</v>
      </c>
      <c r="F19" s="65">
        <f>50000*4.5%+50000</f>
        <v>52250</v>
      </c>
      <c r="G19" s="94">
        <f t="shared" si="0"/>
        <v>418000</v>
      </c>
      <c r="H19" s="83" t="s">
        <v>31</v>
      </c>
      <c r="I19" s="83" t="s">
        <v>519</v>
      </c>
      <c r="J19" s="83" t="s">
        <v>32</v>
      </c>
      <c r="K19" s="83" t="s">
        <v>64</v>
      </c>
    </row>
    <row r="20" spans="1:11" ht="63.75" x14ac:dyDescent="0.25">
      <c r="A20" s="83">
        <v>17</v>
      </c>
      <c r="B20" s="83" t="s">
        <v>80</v>
      </c>
      <c r="C20" s="83" t="s">
        <v>63</v>
      </c>
      <c r="D20" s="83">
        <v>8</v>
      </c>
      <c r="E20" s="83" t="s">
        <v>7</v>
      </c>
      <c r="F20" s="65">
        <f>46575*19%+46575</f>
        <v>55424.25</v>
      </c>
      <c r="G20" s="94">
        <f t="shared" si="0"/>
        <v>443394</v>
      </c>
      <c r="H20" s="83" t="s">
        <v>31</v>
      </c>
      <c r="I20" s="83" t="s">
        <v>519</v>
      </c>
      <c r="J20" s="83" t="s">
        <v>32</v>
      </c>
      <c r="K20" s="83" t="s">
        <v>64</v>
      </c>
    </row>
    <row r="21" spans="1:11" ht="63.75" x14ac:dyDescent="0.25">
      <c r="A21" s="83">
        <v>18</v>
      </c>
      <c r="B21" s="83" t="s">
        <v>81</v>
      </c>
      <c r="C21" s="83" t="s">
        <v>63</v>
      </c>
      <c r="D21" s="83">
        <v>8</v>
      </c>
      <c r="E21" s="83" t="s">
        <v>7</v>
      </c>
      <c r="F21" s="65">
        <v>57000</v>
      </c>
      <c r="G21" s="94">
        <f t="shared" si="0"/>
        <v>456000</v>
      </c>
      <c r="H21" s="83" t="s">
        <v>31</v>
      </c>
      <c r="I21" s="83" t="s">
        <v>519</v>
      </c>
      <c r="J21" s="83" t="s">
        <v>32</v>
      </c>
      <c r="K21" s="83" t="s">
        <v>64</v>
      </c>
    </row>
    <row r="22" spans="1:11" ht="63.75" x14ac:dyDescent="0.25">
      <c r="A22" s="83">
        <v>19</v>
      </c>
      <c r="B22" s="83" t="s">
        <v>82</v>
      </c>
      <c r="C22" s="83" t="s">
        <v>63</v>
      </c>
      <c r="D22" s="83">
        <v>8</v>
      </c>
      <c r="E22" s="83" t="s">
        <v>7</v>
      </c>
      <c r="F22" s="65">
        <v>58000</v>
      </c>
      <c r="G22" s="94">
        <f t="shared" si="0"/>
        <v>464000</v>
      </c>
      <c r="H22" s="83" t="s">
        <v>31</v>
      </c>
      <c r="I22" s="83" t="s">
        <v>519</v>
      </c>
      <c r="J22" s="83" t="s">
        <v>32</v>
      </c>
      <c r="K22" s="83" t="s">
        <v>64</v>
      </c>
    </row>
    <row r="23" spans="1:11" ht="63.75" x14ac:dyDescent="0.25">
      <c r="A23" s="83">
        <v>20</v>
      </c>
      <c r="B23" s="83" t="s">
        <v>83</v>
      </c>
      <c r="C23" s="83" t="s">
        <v>63</v>
      </c>
      <c r="D23" s="83">
        <v>8</v>
      </c>
      <c r="E23" s="83" t="s">
        <v>7</v>
      </c>
      <c r="F23" s="65">
        <v>15000</v>
      </c>
      <c r="G23" s="94">
        <f t="shared" si="0"/>
        <v>120000</v>
      </c>
      <c r="H23" s="83" t="s">
        <v>31</v>
      </c>
      <c r="I23" s="83" t="s">
        <v>519</v>
      </c>
      <c r="J23" s="83" t="s">
        <v>32</v>
      </c>
      <c r="K23" s="83" t="s">
        <v>64</v>
      </c>
    </row>
    <row r="24" spans="1:11" ht="63.75" x14ac:dyDescent="0.25">
      <c r="A24" s="83">
        <v>21</v>
      </c>
      <c r="B24" s="83" t="s">
        <v>84</v>
      </c>
      <c r="C24" s="83" t="s">
        <v>63</v>
      </c>
      <c r="D24" s="83">
        <v>8</v>
      </c>
      <c r="E24" s="83" t="s">
        <v>7</v>
      </c>
      <c r="F24" s="65">
        <v>50000</v>
      </c>
      <c r="G24" s="94">
        <f t="shared" si="0"/>
        <v>400000</v>
      </c>
      <c r="H24" s="83" t="s">
        <v>31</v>
      </c>
      <c r="I24" s="83" t="s">
        <v>519</v>
      </c>
      <c r="J24" s="83" t="s">
        <v>32</v>
      </c>
      <c r="K24" s="83" t="s">
        <v>64</v>
      </c>
    </row>
    <row r="25" spans="1:11" ht="63.75" x14ac:dyDescent="0.25">
      <c r="A25" s="83">
        <v>22</v>
      </c>
      <c r="B25" s="83" t="s">
        <v>85</v>
      </c>
      <c r="C25" s="83" t="s">
        <v>63</v>
      </c>
      <c r="D25" s="83">
        <v>8</v>
      </c>
      <c r="E25" s="83" t="s">
        <v>7</v>
      </c>
      <c r="F25" s="65">
        <v>15000</v>
      </c>
      <c r="G25" s="94">
        <f t="shared" si="0"/>
        <v>120000</v>
      </c>
      <c r="H25" s="83" t="s">
        <v>31</v>
      </c>
      <c r="I25" s="83" t="s">
        <v>519</v>
      </c>
      <c r="J25" s="83" t="s">
        <v>32</v>
      </c>
      <c r="K25" s="83" t="s">
        <v>64</v>
      </c>
    </row>
    <row r="26" spans="1:11" ht="63.75" x14ac:dyDescent="0.25">
      <c r="A26" s="83">
        <v>23</v>
      </c>
      <c r="B26" s="83" t="s">
        <v>86</v>
      </c>
      <c r="C26" s="83" t="s">
        <v>63</v>
      </c>
      <c r="D26" s="83">
        <v>8</v>
      </c>
      <c r="E26" s="83" t="s">
        <v>7</v>
      </c>
      <c r="F26" s="65">
        <v>30000</v>
      </c>
      <c r="G26" s="94">
        <f t="shared" si="0"/>
        <v>240000</v>
      </c>
      <c r="H26" s="83" t="s">
        <v>31</v>
      </c>
      <c r="I26" s="83" t="s">
        <v>519</v>
      </c>
      <c r="J26" s="83" t="s">
        <v>32</v>
      </c>
      <c r="K26" s="83" t="s">
        <v>64</v>
      </c>
    </row>
    <row r="27" spans="1:11" ht="63.75" x14ac:dyDescent="0.25">
      <c r="A27" s="83">
        <v>24</v>
      </c>
      <c r="B27" s="83" t="s">
        <v>87</v>
      </c>
      <c r="C27" s="83" t="s">
        <v>63</v>
      </c>
      <c r="D27" s="83">
        <v>8</v>
      </c>
      <c r="E27" s="83" t="s">
        <v>7</v>
      </c>
      <c r="F27" s="65">
        <v>120000</v>
      </c>
      <c r="G27" s="94">
        <f t="shared" si="0"/>
        <v>960000</v>
      </c>
      <c r="H27" s="83" t="s">
        <v>31</v>
      </c>
      <c r="I27" s="83" t="s">
        <v>519</v>
      </c>
      <c r="J27" s="83" t="s">
        <v>32</v>
      </c>
      <c r="K27" s="83" t="s">
        <v>64</v>
      </c>
    </row>
    <row r="28" spans="1:11" ht="63.75" x14ac:dyDescent="0.25">
      <c r="A28" s="83">
        <v>25</v>
      </c>
      <c r="B28" s="83" t="s">
        <v>88</v>
      </c>
      <c r="C28" s="83" t="s">
        <v>63</v>
      </c>
      <c r="D28" s="83">
        <v>8</v>
      </c>
      <c r="E28" s="83" t="s">
        <v>7</v>
      </c>
      <c r="F28" s="65">
        <v>30000</v>
      </c>
      <c r="G28" s="94">
        <f t="shared" si="0"/>
        <v>240000</v>
      </c>
      <c r="H28" s="83" t="s">
        <v>31</v>
      </c>
      <c r="I28" s="83" t="s">
        <v>519</v>
      </c>
      <c r="J28" s="83" t="s">
        <v>32</v>
      </c>
      <c r="K28" s="83" t="s">
        <v>64</v>
      </c>
    </row>
    <row r="29" spans="1:11" ht="63.75" x14ac:dyDescent="0.25">
      <c r="A29" s="83">
        <v>26</v>
      </c>
      <c r="B29" s="83" t="s">
        <v>89</v>
      </c>
      <c r="C29" s="83" t="s">
        <v>63</v>
      </c>
      <c r="D29" s="83">
        <v>8</v>
      </c>
      <c r="E29" s="83" t="s">
        <v>7</v>
      </c>
      <c r="F29" s="65">
        <v>18000</v>
      </c>
      <c r="G29" s="94">
        <f t="shared" si="0"/>
        <v>144000</v>
      </c>
      <c r="H29" s="83" t="s">
        <v>31</v>
      </c>
      <c r="I29" s="83" t="s">
        <v>519</v>
      </c>
      <c r="J29" s="83" t="s">
        <v>32</v>
      </c>
      <c r="K29" s="83" t="s">
        <v>64</v>
      </c>
    </row>
    <row r="30" spans="1:11" ht="63.75" x14ac:dyDescent="0.25">
      <c r="A30" s="83">
        <v>27</v>
      </c>
      <c r="B30" s="83" t="s">
        <v>90</v>
      </c>
      <c r="C30" s="83" t="s">
        <v>63</v>
      </c>
      <c r="D30" s="83">
        <v>8</v>
      </c>
      <c r="E30" s="83" t="s">
        <v>7</v>
      </c>
      <c r="F30" s="65">
        <v>15000</v>
      </c>
      <c r="G30" s="94">
        <f t="shared" si="0"/>
        <v>120000</v>
      </c>
      <c r="H30" s="83" t="s">
        <v>31</v>
      </c>
      <c r="I30" s="83" t="s">
        <v>519</v>
      </c>
      <c r="J30" s="83" t="s">
        <v>32</v>
      </c>
      <c r="K30" s="83" t="s">
        <v>64</v>
      </c>
    </row>
    <row r="31" spans="1:11" x14ac:dyDescent="0.25">
      <c r="G31" s="11">
        <f>SUM(G4:G30)</f>
        <v>10000000.24</v>
      </c>
    </row>
    <row r="35" spans="7:7" x14ac:dyDescent="0.25">
      <c r="G35" s="14"/>
    </row>
    <row r="36" spans="7:7" x14ac:dyDescent="0.25">
      <c r="G36" s="37"/>
    </row>
  </sheetData>
  <mergeCells count="1">
    <mergeCell ref="A1:K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20"/>
  <sheetViews>
    <sheetView workbookViewId="0">
      <selection activeCell="C114" sqref="C114"/>
    </sheetView>
  </sheetViews>
  <sheetFormatPr baseColWidth="10" defaultRowHeight="15" x14ac:dyDescent="0.25"/>
  <cols>
    <col min="2" max="2" width="21.140625" customWidth="1"/>
    <col min="3" max="3" width="18.5703125" customWidth="1"/>
    <col min="6" max="6" width="12.140625" bestFit="1" customWidth="1"/>
    <col min="7" max="7" width="15.5703125" bestFit="1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104" t="s">
        <v>521</v>
      </c>
      <c r="B2" s="105"/>
      <c r="C2" s="105"/>
      <c r="D2" s="105"/>
      <c r="E2" s="47"/>
      <c r="F2" s="47"/>
      <c r="G2" s="47"/>
      <c r="H2" s="45" t="s">
        <v>91</v>
      </c>
      <c r="I2" s="45"/>
      <c r="J2" s="45"/>
      <c r="K2" s="46">
        <v>50000000</v>
      </c>
    </row>
    <row r="3" spans="1:11" ht="38.25" x14ac:dyDescent="0.25">
      <c r="A3" s="8" t="s">
        <v>0</v>
      </c>
      <c r="B3" s="8" t="s">
        <v>92</v>
      </c>
      <c r="C3" s="8" t="s">
        <v>2</v>
      </c>
      <c r="D3" s="8" t="s">
        <v>4</v>
      </c>
      <c r="E3" s="8" t="s">
        <v>8</v>
      </c>
      <c r="F3" s="8" t="s">
        <v>8</v>
      </c>
      <c r="G3" s="8" t="s">
        <v>522</v>
      </c>
      <c r="H3" s="8" t="s">
        <v>93</v>
      </c>
      <c r="I3" s="8" t="s">
        <v>94</v>
      </c>
      <c r="J3" s="8" t="s">
        <v>28</v>
      </c>
      <c r="K3" s="8" t="s">
        <v>9</v>
      </c>
    </row>
    <row r="4" spans="1:11" ht="25.5" x14ac:dyDescent="0.25">
      <c r="A4" s="62">
        <v>1</v>
      </c>
      <c r="B4" s="62" t="s">
        <v>95</v>
      </c>
      <c r="C4" s="62" t="s">
        <v>63</v>
      </c>
      <c r="D4" s="62">
        <v>5</v>
      </c>
      <c r="E4" s="62" t="s">
        <v>13</v>
      </c>
      <c r="F4" s="65">
        <f>15000*3.5%+15000</f>
        <v>15525</v>
      </c>
      <c r="G4" s="65">
        <f>+D4*F4</f>
        <v>77625</v>
      </c>
      <c r="H4" s="62" t="s">
        <v>31</v>
      </c>
      <c r="I4" s="62" t="s">
        <v>97</v>
      </c>
      <c r="J4" s="62" t="s">
        <v>32</v>
      </c>
      <c r="K4" s="62" t="s">
        <v>98</v>
      </c>
    </row>
    <row r="5" spans="1:11" ht="38.25" x14ac:dyDescent="0.25">
      <c r="A5" s="62">
        <v>2</v>
      </c>
      <c r="B5" s="62" t="s">
        <v>99</v>
      </c>
      <c r="C5" s="62" t="s">
        <v>63</v>
      </c>
      <c r="D5" s="84">
        <v>5</v>
      </c>
      <c r="E5" s="62" t="s">
        <v>13</v>
      </c>
      <c r="F5" s="65">
        <f>170000*3.5%+170000</f>
        <v>175950</v>
      </c>
      <c r="G5" s="65">
        <f t="shared" ref="G5:G68" si="0">+D5*F5</f>
        <v>879750</v>
      </c>
      <c r="H5" s="62" t="s">
        <v>31</v>
      </c>
      <c r="I5" s="62" t="s">
        <v>97</v>
      </c>
      <c r="J5" s="62" t="s">
        <v>32</v>
      </c>
      <c r="K5" s="62" t="s">
        <v>100</v>
      </c>
    </row>
    <row r="6" spans="1:11" ht="38.25" x14ac:dyDescent="0.25">
      <c r="A6" s="62">
        <v>3</v>
      </c>
      <c r="B6" s="62" t="s">
        <v>101</v>
      </c>
      <c r="C6" s="62" t="s">
        <v>63</v>
      </c>
      <c r="D6" s="84">
        <v>5</v>
      </c>
      <c r="E6" s="62" t="s">
        <v>13</v>
      </c>
      <c r="F6" s="65">
        <f>9000*3.5%+9000</f>
        <v>9315</v>
      </c>
      <c r="G6" s="65">
        <f t="shared" si="0"/>
        <v>46575</v>
      </c>
      <c r="H6" s="62" t="s">
        <v>31</v>
      </c>
      <c r="I6" s="62" t="s">
        <v>97</v>
      </c>
      <c r="J6" s="62" t="s">
        <v>32</v>
      </c>
      <c r="K6" s="62" t="s">
        <v>100</v>
      </c>
    </row>
    <row r="7" spans="1:11" ht="38.25" x14ac:dyDescent="0.25">
      <c r="A7" s="62">
        <v>4</v>
      </c>
      <c r="B7" s="62" t="s">
        <v>102</v>
      </c>
      <c r="C7" s="62" t="s">
        <v>63</v>
      </c>
      <c r="D7" s="84">
        <v>5</v>
      </c>
      <c r="E7" s="62" t="s">
        <v>13</v>
      </c>
      <c r="F7" s="65">
        <f>9000*3.5%+9000</f>
        <v>9315</v>
      </c>
      <c r="G7" s="65">
        <f t="shared" si="0"/>
        <v>46575</v>
      </c>
      <c r="H7" s="62" t="s">
        <v>31</v>
      </c>
      <c r="I7" s="62" t="s">
        <v>97</v>
      </c>
      <c r="J7" s="62" t="s">
        <v>32</v>
      </c>
      <c r="K7" s="62" t="s">
        <v>100</v>
      </c>
    </row>
    <row r="8" spans="1:11" ht="38.25" x14ac:dyDescent="0.25">
      <c r="A8" s="62">
        <v>5</v>
      </c>
      <c r="B8" s="62" t="s">
        <v>103</v>
      </c>
      <c r="C8" s="62" t="s">
        <v>63</v>
      </c>
      <c r="D8" s="84">
        <v>5</v>
      </c>
      <c r="E8" s="62" t="s">
        <v>13</v>
      </c>
      <c r="F8" s="65">
        <f>485000*3.5%+485000</f>
        <v>501975</v>
      </c>
      <c r="G8" s="65">
        <f t="shared" si="0"/>
        <v>2509875</v>
      </c>
      <c r="H8" s="62" t="s">
        <v>31</v>
      </c>
      <c r="I8" s="62" t="s">
        <v>97</v>
      </c>
      <c r="J8" s="62" t="s">
        <v>32</v>
      </c>
      <c r="K8" s="62" t="s">
        <v>100</v>
      </c>
    </row>
    <row r="9" spans="1:11" ht="38.25" x14ac:dyDescent="0.25">
      <c r="A9" s="62">
        <v>6</v>
      </c>
      <c r="B9" s="62" t="s">
        <v>104</v>
      </c>
      <c r="C9" s="62" t="s">
        <v>63</v>
      </c>
      <c r="D9" s="84">
        <v>5</v>
      </c>
      <c r="E9" s="62" t="s">
        <v>13</v>
      </c>
      <c r="F9" s="65">
        <f>20000*3.5%+20000</f>
        <v>20700</v>
      </c>
      <c r="G9" s="65">
        <f t="shared" si="0"/>
        <v>103500</v>
      </c>
      <c r="H9" s="62" t="s">
        <v>31</v>
      </c>
      <c r="I9" s="62" t="s">
        <v>97</v>
      </c>
      <c r="J9" s="62" t="s">
        <v>32</v>
      </c>
      <c r="K9" s="62" t="s">
        <v>100</v>
      </c>
    </row>
    <row r="10" spans="1:11" ht="38.25" x14ac:dyDescent="0.25">
      <c r="A10" s="62">
        <v>7</v>
      </c>
      <c r="B10" s="62" t="s">
        <v>105</v>
      </c>
      <c r="C10" s="62" t="s">
        <v>63</v>
      </c>
      <c r="D10" s="84">
        <v>5</v>
      </c>
      <c r="E10" s="62" t="s">
        <v>13</v>
      </c>
      <c r="F10" s="65">
        <f>39000*3.5%+39000</f>
        <v>40365</v>
      </c>
      <c r="G10" s="65">
        <f t="shared" si="0"/>
        <v>201825</v>
      </c>
      <c r="H10" s="62" t="s">
        <v>31</v>
      </c>
      <c r="I10" s="62" t="s">
        <v>97</v>
      </c>
      <c r="J10" s="62" t="s">
        <v>32</v>
      </c>
      <c r="K10" s="62" t="s">
        <v>100</v>
      </c>
    </row>
    <row r="11" spans="1:11" ht="38.25" x14ac:dyDescent="0.25">
      <c r="A11" s="62">
        <v>8</v>
      </c>
      <c r="B11" s="62" t="s">
        <v>106</v>
      </c>
      <c r="C11" s="62" t="s">
        <v>63</v>
      </c>
      <c r="D11" s="84">
        <v>5</v>
      </c>
      <c r="E11" s="62" t="s">
        <v>13</v>
      </c>
      <c r="F11" s="65">
        <f>49000*3.5%+49000</f>
        <v>50715</v>
      </c>
      <c r="G11" s="65">
        <f t="shared" si="0"/>
        <v>253575</v>
      </c>
      <c r="H11" s="62" t="s">
        <v>31</v>
      </c>
      <c r="I11" s="62" t="s">
        <v>97</v>
      </c>
      <c r="J11" s="62" t="s">
        <v>32</v>
      </c>
      <c r="K11" s="62" t="s">
        <v>100</v>
      </c>
    </row>
    <row r="12" spans="1:11" ht="38.25" x14ac:dyDescent="0.25">
      <c r="A12" s="62">
        <v>9</v>
      </c>
      <c r="B12" s="62" t="s">
        <v>107</v>
      </c>
      <c r="C12" s="62" t="s">
        <v>63</v>
      </c>
      <c r="D12" s="84">
        <v>5</v>
      </c>
      <c r="E12" s="62" t="s">
        <v>13</v>
      </c>
      <c r="F12" s="65">
        <f>35000*3.5%+35000</f>
        <v>36225</v>
      </c>
      <c r="G12" s="65">
        <f t="shared" si="0"/>
        <v>181125</v>
      </c>
      <c r="H12" s="62" t="s">
        <v>31</v>
      </c>
      <c r="I12" s="62" t="s">
        <v>97</v>
      </c>
      <c r="J12" s="62" t="s">
        <v>32</v>
      </c>
      <c r="K12" s="62" t="s">
        <v>100</v>
      </c>
    </row>
    <row r="13" spans="1:11" ht="38.25" x14ac:dyDescent="0.25">
      <c r="A13" s="62">
        <v>10</v>
      </c>
      <c r="B13" s="62" t="s">
        <v>108</v>
      </c>
      <c r="C13" s="62" t="s">
        <v>63</v>
      </c>
      <c r="D13" s="84">
        <v>5</v>
      </c>
      <c r="E13" s="62" t="s">
        <v>13</v>
      </c>
      <c r="F13" s="65">
        <f>45000*3.5%+45000</f>
        <v>46575</v>
      </c>
      <c r="G13" s="65">
        <f t="shared" si="0"/>
        <v>232875</v>
      </c>
      <c r="H13" s="62" t="s">
        <v>31</v>
      </c>
      <c r="I13" s="62" t="s">
        <v>97</v>
      </c>
      <c r="J13" s="62" t="s">
        <v>32</v>
      </c>
      <c r="K13" s="62" t="s">
        <v>100</v>
      </c>
    </row>
    <row r="14" spans="1:11" ht="38.25" x14ac:dyDescent="0.25">
      <c r="A14" s="62">
        <v>11</v>
      </c>
      <c r="B14" s="62" t="s">
        <v>109</v>
      </c>
      <c r="C14" s="62" t="s">
        <v>63</v>
      </c>
      <c r="D14" s="84">
        <v>5</v>
      </c>
      <c r="E14" s="62" t="s">
        <v>13</v>
      </c>
      <c r="F14" s="65">
        <f>4000*3.5%+4000</f>
        <v>4140</v>
      </c>
      <c r="G14" s="65">
        <f t="shared" si="0"/>
        <v>20700</v>
      </c>
      <c r="H14" s="62" t="s">
        <v>31</v>
      </c>
      <c r="I14" s="62" t="s">
        <v>97</v>
      </c>
      <c r="J14" s="62" t="s">
        <v>32</v>
      </c>
      <c r="K14" s="62" t="s">
        <v>100</v>
      </c>
    </row>
    <row r="15" spans="1:11" ht="38.25" x14ac:dyDescent="0.25">
      <c r="A15" s="62">
        <v>12</v>
      </c>
      <c r="B15" s="62" t="s">
        <v>110</v>
      </c>
      <c r="C15" s="62" t="s">
        <v>63</v>
      </c>
      <c r="D15" s="84">
        <v>5</v>
      </c>
      <c r="E15" s="62" t="s">
        <v>13</v>
      </c>
      <c r="F15" s="65">
        <f>7000*3.5%+7000</f>
        <v>7245</v>
      </c>
      <c r="G15" s="65">
        <f t="shared" si="0"/>
        <v>36225</v>
      </c>
      <c r="H15" s="62" t="s">
        <v>31</v>
      </c>
      <c r="I15" s="62" t="s">
        <v>97</v>
      </c>
      <c r="J15" s="62" t="s">
        <v>32</v>
      </c>
      <c r="K15" s="62" t="s">
        <v>100</v>
      </c>
    </row>
    <row r="16" spans="1:11" ht="38.25" x14ac:dyDescent="0.25">
      <c r="A16" s="62">
        <v>13</v>
      </c>
      <c r="B16" s="62" t="s">
        <v>111</v>
      </c>
      <c r="C16" s="62" t="s">
        <v>63</v>
      </c>
      <c r="D16" s="84">
        <v>5</v>
      </c>
      <c r="E16" s="62" t="s">
        <v>13</v>
      </c>
      <c r="F16" s="65">
        <f>9000*3.5%+9000</f>
        <v>9315</v>
      </c>
      <c r="G16" s="65">
        <f t="shared" si="0"/>
        <v>46575</v>
      </c>
      <c r="H16" s="62" t="s">
        <v>31</v>
      </c>
      <c r="I16" s="62" t="s">
        <v>97</v>
      </c>
      <c r="J16" s="62" t="s">
        <v>32</v>
      </c>
      <c r="K16" s="62" t="s">
        <v>100</v>
      </c>
    </row>
    <row r="17" spans="1:11" ht="38.25" x14ac:dyDescent="0.25">
      <c r="A17" s="62">
        <v>14</v>
      </c>
      <c r="B17" s="62" t="s">
        <v>112</v>
      </c>
      <c r="C17" s="62" t="s">
        <v>63</v>
      </c>
      <c r="D17" s="84">
        <v>5</v>
      </c>
      <c r="E17" s="62" t="s">
        <v>13</v>
      </c>
      <c r="F17" s="65">
        <f>18000*3.5%+18000</f>
        <v>18630</v>
      </c>
      <c r="G17" s="65">
        <f t="shared" si="0"/>
        <v>93150</v>
      </c>
      <c r="H17" s="62" t="s">
        <v>31</v>
      </c>
      <c r="I17" s="62" t="s">
        <v>97</v>
      </c>
      <c r="J17" s="62" t="s">
        <v>32</v>
      </c>
      <c r="K17" s="62" t="s">
        <v>100</v>
      </c>
    </row>
    <row r="18" spans="1:11" ht="38.25" x14ac:dyDescent="0.25">
      <c r="A18" s="62">
        <v>15</v>
      </c>
      <c r="B18" s="62" t="s">
        <v>113</v>
      </c>
      <c r="C18" s="62" t="s">
        <v>63</v>
      </c>
      <c r="D18" s="84">
        <v>5</v>
      </c>
      <c r="E18" s="62" t="s">
        <v>13</v>
      </c>
      <c r="F18" s="65">
        <f>17000*3.5%+17000</f>
        <v>17595</v>
      </c>
      <c r="G18" s="65">
        <f t="shared" si="0"/>
        <v>87975</v>
      </c>
      <c r="H18" s="62" t="s">
        <v>31</v>
      </c>
      <c r="I18" s="62" t="s">
        <v>97</v>
      </c>
      <c r="J18" s="62" t="s">
        <v>32</v>
      </c>
      <c r="K18" s="62" t="s">
        <v>100</v>
      </c>
    </row>
    <row r="19" spans="1:11" ht="38.25" x14ac:dyDescent="0.25">
      <c r="A19" s="62">
        <v>16</v>
      </c>
      <c r="B19" s="62" t="s">
        <v>114</v>
      </c>
      <c r="C19" s="62" t="s">
        <v>63</v>
      </c>
      <c r="D19" s="84">
        <v>5</v>
      </c>
      <c r="E19" s="62" t="s">
        <v>13</v>
      </c>
      <c r="F19" s="65">
        <f>30000*3.5%+30000</f>
        <v>31050</v>
      </c>
      <c r="G19" s="65">
        <f t="shared" si="0"/>
        <v>155250</v>
      </c>
      <c r="H19" s="62" t="s">
        <v>31</v>
      </c>
      <c r="I19" s="62" t="s">
        <v>97</v>
      </c>
      <c r="J19" s="62" t="s">
        <v>32</v>
      </c>
      <c r="K19" s="62" t="s">
        <v>100</v>
      </c>
    </row>
    <row r="20" spans="1:11" ht="38.25" x14ac:dyDescent="0.25">
      <c r="A20" s="62">
        <v>17</v>
      </c>
      <c r="B20" s="62" t="s">
        <v>115</v>
      </c>
      <c r="C20" s="62" t="s">
        <v>63</v>
      </c>
      <c r="D20" s="84">
        <v>5</v>
      </c>
      <c r="E20" s="62" t="s">
        <v>13</v>
      </c>
      <c r="F20" s="65">
        <f>15000*3.5%+15000</f>
        <v>15525</v>
      </c>
      <c r="G20" s="65">
        <f t="shared" si="0"/>
        <v>77625</v>
      </c>
      <c r="H20" s="62" t="s">
        <v>31</v>
      </c>
      <c r="I20" s="62" t="s">
        <v>97</v>
      </c>
      <c r="J20" s="62" t="s">
        <v>32</v>
      </c>
      <c r="K20" s="62" t="s">
        <v>100</v>
      </c>
    </row>
    <row r="21" spans="1:11" ht="38.25" x14ac:dyDescent="0.25">
      <c r="A21" s="62">
        <v>18</v>
      </c>
      <c r="B21" s="62" t="s">
        <v>116</v>
      </c>
      <c r="C21" s="62" t="s">
        <v>63</v>
      </c>
      <c r="D21" s="84">
        <v>5</v>
      </c>
      <c r="E21" s="62" t="s">
        <v>13</v>
      </c>
      <c r="F21" s="65">
        <f>1900*3.5%+1900</f>
        <v>1966.5</v>
      </c>
      <c r="G21" s="65">
        <f t="shared" si="0"/>
        <v>9832.5</v>
      </c>
      <c r="H21" s="62" t="s">
        <v>31</v>
      </c>
      <c r="I21" s="62" t="s">
        <v>97</v>
      </c>
      <c r="J21" s="62" t="s">
        <v>32</v>
      </c>
      <c r="K21" s="62" t="s">
        <v>100</v>
      </c>
    </row>
    <row r="22" spans="1:11" ht="38.25" x14ac:dyDescent="0.25">
      <c r="A22" s="62">
        <v>19</v>
      </c>
      <c r="B22" s="62" t="s">
        <v>117</v>
      </c>
      <c r="C22" s="62" t="s">
        <v>63</v>
      </c>
      <c r="D22" s="84">
        <v>5</v>
      </c>
      <c r="E22" s="62" t="s">
        <v>13</v>
      </c>
      <c r="F22" s="65">
        <f>8000*3.5%+8000</f>
        <v>8280</v>
      </c>
      <c r="G22" s="65">
        <f t="shared" si="0"/>
        <v>41400</v>
      </c>
      <c r="H22" s="62" t="s">
        <v>31</v>
      </c>
      <c r="I22" s="62" t="s">
        <v>97</v>
      </c>
      <c r="J22" s="62" t="s">
        <v>32</v>
      </c>
      <c r="K22" s="62" t="s">
        <v>100</v>
      </c>
    </row>
    <row r="23" spans="1:11" ht="38.25" x14ac:dyDescent="0.25">
      <c r="A23" s="62">
        <v>20</v>
      </c>
      <c r="B23" s="62" t="s">
        <v>118</v>
      </c>
      <c r="C23" s="62" t="s">
        <v>63</v>
      </c>
      <c r="D23" s="84">
        <v>5</v>
      </c>
      <c r="E23" s="62" t="s">
        <v>13</v>
      </c>
      <c r="F23" s="65">
        <f>8000*3.5%+8000</f>
        <v>8280</v>
      </c>
      <c r="G23" s="65">
        <f t="shared" si="0"/>
        <v>41400</v>
      </c>
      <c r="H23" s="62" t="s">
        <v>31</v>
      </c>
      <c r="I23" s="62" t="s">
        <v>97</v>
      </c>
      <c r="J23" s="62" t="s">
        <v>32</v>
      </c>
      <c r="K23" s="62" t="s">
        <v>100</v>
      </c>
    </row>
    <row r="24" spans="1:11" ht="38.25" x14ac:dyDescent="0.25">
      <c r="A24" s="62">
        <v>21</v>
      </c>
      <c r="B24" s="62" t="s">
        <v>119</v>
      </c>
      <c r="C24" s="62" t="s">
        <v>63</v>
      </c>
      <c r="D24" s="84">
        <v>5</v>
      </c>
      <c r="E24" s="62" t="s">
        <v>13</v>
      </c>
      <c r="F24" s="65">
        <f>15000*3.5%+15000</f>
        <v>15525</v>
      </c>
      <c r="G24" s="65">
        <f t="shared" si="0"/>
        <v>77625</v>
      </c>
      <c r="H24" s="62" t="s">
        <v>31</v>
      </c>
      <c r="I24" s="62" t="s">
        <v>97</v>
      </c>
      <c r="J24" s="62" t="s">
        <v>32</v>
      </c>
      <c r="K24" s="62" t="s">
        <v>100</v>
      </c>
    </row>
    <row r="25" spans="1:11" ht="38.25" x14ac:dyDescent="0.25">
      <c r="A25" s="62">
        <v>22</v>
      </c>
      <c r="B25" s="62" t="s">
        <v>120</v>
      </c>
      <c r="C25" s="62" t="s">
        <v>63</v>
      </c>
      <c r="D25" s="84">
        <v>5</v>
      </c>
      <c r="E25" s="62" t="s">
        <v>13</v>
      </c>
      <c r="F25" s="65">
        <f>58000*3.5%+58000</f>
        <v>60030</v>
      </c>
      <c r="G25" s="65">
        <f t="shared" si="0"/>
        <v>300150</v>
      </c>
      <c r="H25" s="62" t="s">
        <v>31</v>
      </c>
      <c r="I25" s="62" t="s">
        <v>97</v>
      </c>
      <c r="J25" s="62" t="s">
        <v>32</v>
      </c>
      <c r="K25" s="62" t="s">
        <v>100</v>
      </c>
    </row>
    <row r="26" spans="1:11" ht="38.25" x14ac:dyDescent="0.25">
      <c r="A26" s="62">
        <v>23</v>
      </c>
      <c r="B26" s="62" t="s">
        <v>121</v>
      </c>
      <c r="C26" s="62" t="s">
        <v>63</v>
      </c>
      <c r="D26" s="84">
        <v>5</v>
      </c>
      <c r="E26" s="62" t="s">
        <v>13</v>
      </c>
      <c r="F26" s="65">
        <f t="shared" ref="F26:F28" si="1">58000*3.5%+58000</f>
        <v>60030</v>
      </c>
      <c r="G26" s="65">
        <f t="shared" si="0"/>
        <v>300150</v>
      </c>
      <c r="H26" s="62" t="s">
        <v>31</v>
      </c>
      <c r="I26" s="62" t="s">
        <v>97</v>
      </c>
      <c r="J26" s="62" t="s">
        <v>32</v>
      </c>
      <c r="K26" s="62" t="s">
        <v>100</v>
      </c>
    </row>
    <row r="27" spans="1:11" ht="38.25" x14ac:dyDescent="0.25">
      <c r="A27" s="62">
        <v>24</v>
      </c>
      <c r="B27" s="62" t="s">
        <v>122</v>
      </c>
      <c r="C27" s="62" t="s">
        <v>63</v>
      </c>
      <c r="D27" s="84">
        <v>5</v>
      </c>
      <c r="E27" s="62" t="s">
        <v>13</v>
      </c>
      <c r="F27" s="65">
        <f t="shared" si="1"/>
        <v>60030</v>
      </c>
      <c r="G27" s="65">
        <f t="shared" si="0"/>
        <v>300150</v>
      </c>
      <c r="H27" s="62" t="s">
        <v>31</v>
      </c>
      <c r="I27" s="62" t="s">
        <v>97</v>
      </c>
      <c r="J27" s="62" t="s">
        <v>32</v>
      </c>
      <c r="K27" s="62" t="s">
        <v>100</v>
      </c>
    </row>
    <row r="28" spans="1:11" ht="38.25" x14ac:dyDescent="0.25">
      <c r="A28" s="62">
        <v>25</v>
      </c>
      <c r="B28" s="62" t="s">
        <v>123</v>
      </c>
      <c r="C28" s="62" t="s">
        <v>63</v>
      </c>
      <c r="D28" s="84">
        <v>5</v>
      </c>
      <c r="E28" s="62" t="s">
        <v>13</v>
      </c>
      <c r="F28" s="65">
        <f t="shared" si="1"/>
        <v>60030</v>
      </c>
      <c r="G28" s="65">
        <f t="shared" si="0"/>
        <v>300150</v>
      </c>
      <c r="H28" s="62" t="s">
        <v>31</v>
      </c>
      <c r="I28" s="62" t="s">
        <v>97</v>
      </c>
      <c r="J28" s="62" t="s">
        <v>32</v>
      </c>
      <c r="K28" s="62" t="s">
        <v>100</v>
      </c>
    </row>
    <row r="29" spans="1:11" ht="38.25" x14ac:dyDescent="0.25">
      <c r="A29" s="62">
        <v>26</v>
      </c>
      <c r="B29" s="62" t="s">
        <v>124</v>
      </c>
      <c r="C29" s="62" t="s">
        <v>63</v>
      </c>
      <c r="D29" s="84">
        <v>5</v>
      </c>
      <c r="E29" s="62" t="s">
        <v>13</v>
      </c>
      <c r="F29" s="65">
        <f>68000*3.5%+68000</f>
        <v>70380</v>
      </c>
      <c r="G29" s="65">
        <f t="shared" si="0"/>
        <v>351900</v>
      </c>
      <c r="H29" s="62" t="s">
        <v>31</v>
      </c>
      <c r="I29" s="62" t="s">
        <v>97</v>
      </c>
      <c r="J29" s="62" t="s">
        <v>32</v>
      </c>
      <c r="K29" s="62" t="s">
        <v>100</v>
      </c>
    </row>
    <row r="30" spans="1:11" ht="38.25" x14ac:dyDescent="0.25">
      <c r="A30" s="62">
        <v>27</v>
      </c>
      <c r="B30" s="62" t="s">
        <v>125</v>
      </c>
      <c r="C30" s="62" t="s">
        <v>63</v>
      </c>
      <c r="D30" s="84">
        <v>5</v>
      </c>
      <c r="E30" s="62" t="s">
        <v>13</v>
      </c>
      <c r="F30" s="65">
        <f t="shared" ref="F30:F31" si="2">68000*3.5%+68000</f>
        <v>70380</v>
      </c>
      <c r="G30" s="65">
        <f t="shared" si="0"/>
        <v>351900</v>
      </c>
      <c r="H30" s="62" t="s">
        <v>31</v>
      </c>
      <c r="I30" s="62" t="s">
        <v>97</v>
      </c>
      <c r="J30" s="62" t="s">
        <v>32</v>
      </c>
      <c r="K30" s="62" t="s">
        <v>100</v>
      </c>
    </row>
    <row r="31" spans="1:11" ht="38.25" x14ac:dyDescent="0.25">
      <c r="A31" s="62">
        <v>28</v>
      </c>
      <c r="B31" s="62" t="s">
        <v>126</v>
      </c>
      <c r="C31" s="62" t="s">
        <v>63</v>
      </c>
      <c r="D31" s="84">
        <v>5</v>
      </c>
      <c r="E31" s="62" t="s">
        <v>13</v>
      </c>
      <c r="F31" s="65">
        <f t="shared" si="2"/>
        <v>70380</v>
      </c>
      <c r="G31" s="65">
        <f t="shared" si="0"/>
        <v>351900</v>
      </c>
      <c r="H31" s="62" t="s">
        <v>31</v>
      </c>
      <c r="I31" s="62" t="s">
        <v>97</v>
      </c>
      <c r="J31" s="62" t="s">
        <v>32</v>
      </c>
      <c r="K31" s="62" t="s">
        <v>100</v>
      </c>
    </row>
    <row r="32" spans="1:11" ht="38.25" x14ac:dyDescent="0.25">
      <c r="A32" s="62">
        <v>29</v>
      </c>
      <c r="B32" s="62" t="s">
        <v>127</v>
      </c>
      <c r="C32" s="62" t="s">
        <v>63</v>
      </c>
      <c r="D32" s="84">
        <v>5</v>
      </c>
      <c r="E32" s="62" t="s">
        <v>13</v>
      </c>
      <c r="F32" s="65">
        <f>72000*3.5%+72000</f>
        <v>74520</v>
      </c>
      <c r="G32" s="65">
        <f t="shared" si="0"/>
        <v>372600</v>
      </c>
      <c r="H32" s="62" t="s">
        <v>31</v>
      </c>
      <c r="I32" s="62" t="s">
        <v>97</v>
      </c>
      <c r="J32" s="62" t="s">
        <v>32</v>
      </c>
      <c r="K32" s="62" t="s">
        <v>100</v>
      </c>
    </row>
    <row r="33" spans="1:11" ht="38.25" x14ac:dyDescent="0.25">
      <c r="A33" s="62">
        <v>30</v>
      </c>
      <c r="B33" s="62" t="s">
        <v>128</v>
      </c>
      <c r="C33" s="62" t="s">
        <v>63</v>
      </c>
      <c r="D33" s="84">
        <v>5</v>
      </c>
      <c r="E33" s="62" t="s">
        <v>13</v>
      </c>
      <c r="F33" s="65">
        <f>72000*3.5%+72000</f>
        <v>74520</v>
      </c>
      <c r="G33" s="65">
        <f t="shared" si="0"/>
        <v>372600</v>
      </c>
      <c r="H33" s="62" t="s">
        <v>31</v>
      </c>
      <c r="I33" s="62" t="s">
        <v>97</v>
      </c>
      <c r="J33" s="62" t="s">
        <v>32</v>
      </c>
      <c r="K33" s="62" t="s">
        <v>100</v>
      </c>
    </row>
    <row r="34" spans="1:11" ht="38.25" x14ac:dyDescent="0.25">
      <c r="A34" s="62">
        <v>31</v>
      </c>
      <c r="B34" s="62" t="s">
        <v>129</v>
      </c>
      <c r="C34" s="62" t="s">
        <v>63</v>
      </c>
      <c r="D34" s="84">
        <v>5</v>
      </c>
      <c r="E34" s="62" t="s">
        <v>13</v>
      </c>
      <c r="F34" s="65">
        <f>80000*3.5%+80000</f>
        <v>82800</v>
      </c>
      <c r="G34" s="65">
        <f t="shared" si="0"/>
        <v>414000</v>
      </c>
      <c r="H34" s="62" t="s">
        <v>31</v>
      </c>
      <c r="I34" s="62" t="s">
        <v>97</v>
      </c>
      <c r="J34" s="62" t="s">
        <v>32</v>
      </c>
      <c r="K34" s="62" t="s">
        <v>100</v>
      </c>
    </row>
    <row r="35" spans="1:11" ht="38.25" x14ac:dyDescent="0.25">
      <c r="A35" s="62">
        <v>32</v>
      </c>
      <c r="B35" s="62" t="s">
        <v>130</v>
      </c>
      <c r="C35" s="62" t="s">
        <v>63</v>
      </c>
      <c r="D35" s="84">
        <v>5</v>
      </c>
      <c r="E35" s="62" t="s">
        <v>13</v>
      </c>
      <c r="F35" s="65">
        <f>216000*3.5%+216000</f>
        <v>223560</v>
      </c>
      <c r="G35" s="65">
        <f t="shared" si="0"/>
        <v>1117800</v>
      </c>
      <c r="H35" s="62" t="s">
        <v>31</v>
      </c>
      <c r="I35" s="62" t="s">
        <v>97</v>
      </c>
      <c r="J35" s="62" t="s">
        <v>32</v>
      </c>
      <c r="K35" s="62" t="s">
        <v>100</v>
      </c>
    </row>
    <row r="36" spans="1:11" ht="38.25" x14ac:dyDescent="0.25">
      <c r="A36" s="62">
        <v>33</v>
      </c>
      <c r="B36" s="62" t="s">
        <v>131</v>
      </c>
      <c r="C36" s="62" t="s">
        <v>63</v>
      </c>
      <c r="D36" s="84">
        <v>5</v>
      </c>
      <c r="E36" s="62" t="s">
        <v>13</v>
      </c>
      <c r="F36" s="65">
        <f>250000*3.5%+250000</f>
        <v>258750</v>
      </c>
      <c r="G36" s="65">
        <f t="shared" si="0"/>
        <v>1293750</v>
      </c>
      <c r="H36" s="62" t="s">
        <v>31</v>
      </c>
      <c r="I36" s="62" t="s">
        <v>97</v>
      </c>
      <c r="J36" s="62" t="s">
        <v>32</v>
      </c>
      <c r="K36" s="62" t="s">
        <v>100</v>
      </c>
    </row>
    <row r="37" spans="1:11" ht="38.25" x14ac:dyDescent="0.25">
      <c r="A37" s="62">
        <v>34</v>
      </c>
      <c r="B37" s="62" t="s">
        <v>132</v>
      </c>
      <c r="C37" s="62" t="s">
        <v>63</v>
      </c>
      <c r="D37" s="84">
        <v>5</v>
      </c>
      <c r="E37" s="62" t="s">
        <v>13</v>
      </c>
      <c r="F37" s="65">
        <f>295000*3.5%+295000</f>
        <v>305325</v>
      </c>
      <c r="G37" s="65">
        <f t="shared" si="0"/>
        <v>1526625</v>
      </c>
      <c r="H37" s="62" t="s">
        <v>31</v>
      </c>
      <c r="I37" s="62" t="s">
        <v>97</v>
      </c>
      <c r="J37" s="62" t="s">
        <v>32</v>
      </c>
      <c r="K37" s="62" t="s">
        <v>100</v>
      </c>
    </row>
    <row r="38" spans="1:11" ht="38.25" x14ac:dyDescent="0.25">
      <c r="A38" s="62">
        <v>35</v>
      </c>
      <c r="B38" s="62" t="s">
        <v>118</v>
      </c>
      <c r="C38" s="62" t="s">
        <v>63</v>
      </c>
      <c r="D38" s="84">
        <v>5</v>
      </c>
      <c r="E38" s="62" t="s">
        <v>13</v>
      </c>
      <c r="F38" s="65">
        <f>8000*3.5%+8000</f>
        <v>8280</v>
      </c>
      <c r="G38" s="65">
        <f t="shared" si="0"/>
        <v>41400</v>
      </c>
      <c r="H38" s="62" t="s">
        <v>31</v>
      </c>
      <c r="I38" s="62" t="s">
        <v>97</v>
      </c>
      <c r="J38" s="62" t="s">
        <v>32</v>
      </c>
      <c r="K38" s="62" t="s">
        <v>100</v>
      </c>
    </row>
    <row r="39" spans="1:11" ht="38.25" x14ac:dyDescent="0.25">
      <c r="A39" s="62">
        <v>36</v>
      </c>
      <c r="B39" s="62" t="s">
        <v>131</v>
      </c>
      <c r="C39" s="62" t="s">
        <v>63</v>
      </c>
      <c r="D39" s="84">
        <v>5</v>
      </c>
      <c r="E39" s="62" t="s">
        <v>13</v>
      </c>
      <c r="F39" s="65">
        <f>250000*3.5%+250000</f>
        <v>258750</v>
      </c>
      <c r="G39" s="65">
        <f t="shared" si="0"/>
        <v>1293750</v>
      </c>
      <c r="H39" s="62" t="s">
        <v>31</v>
      </c>
      <c r="I39" s="62" t="s">
        <v>97</v>
      </c>
      <c r="J39" s="62" t="s">
        <v>32</v>
      </c>
      <c r="K39" s="62" t="s">
        <v>100</v>
      </c>
    </row>
    <row r="40" spans="1:11" ht="38.25" x14ac:dyDescent="0.25">
      <c r="A40" s="62">
        <v>37</v>
      </c>
      <c r="B40" s="62" t="s">
        <v>132</v>
      </c>
      <c r="C40" s="62" t="s">
        <v>63</v>
      </c>
      <c r="D40" s="84">
        <v>5</v>
      </c>
      <c r="E40" s="62" t="s">
        <v>13</v>
      </c>
      <c r="F40" s="65">
        <f>295000*3.5%+295000</f>
        <v>305325</v>
      </c>
      <c r="G40" s="65">
        <f t="shared" si="0"/>
        <v>1526625</v>
      </c>
      <c r="H40" s="62" t="s">
        <v>31</v>
      </c>
      <c r="I40" s="62" t="s">
        <v>97</v>
      </c>
      <c r="J40" s="62" t="s">
        <v>32</v>
      </c>
      <c r="K40" s="62" t="s">
        <v>100</v>
      </c>
    </row>
    <row r="41" spans="1:11" ht="38.25" x14ac:dyDescent="0.25">
      <c r="A41" s="62">
        <v>38</v>
      </c>
      <c r="B41" s="62" t="s">
        <v>133</v>
      </c>
      <c r="C41" s="62" t="s">
        <v>63</v>
      </c>
      <c r="D41" s="84">
        <v>4</v>
      </c>
      <c r="E41" s="62" t="s">
        <v>13</v>
      </c>
      <c r="F41" s="65">
        <f>52000*3.5%+52000</f>
        <v>53820</v>
      </c>
      <c r="G41" s="65">
        <f t="shared" si="0"/>
        <v>215280</v>
      </c>
      <c r="H41" s="62" t="s">
        <v>31</v>
      </c>
      <c r="I41" s="62" t="s">
        <v>97</v>
      </c>
      <c r="J41" s="62" t="s">
        <v>32</v>
      </c>
      <c r="K41" s="62" t="s">
        <v>100</v>
      </c>
    </row>
    <row r="42" spans="1:11" ht="38.25" x14ac:dyDescent="0.25">
      <c r="A42" s="62">
        <v>39</v>
      </c>
      <c r="B42" s="62" t="s">
        <v>134</v>
      </c>
      <c r="C42" s="62" t="s">
        <v>63</v>
      </c>
      <c r="D42" s="84">
        <v>4</v>
      </c>
      <c r="E42" s="62" t="s">
        <v>13</v>
      </c>
      <c r="F42" s="65">
        <f>700*3.5%+700</f>
        <v>724.5</v>
      </c>
      <c r="G42" s="65">
        <f t="shared" si="0"/>
        <v>2898</v>
      </c>
      <c r="H42" s="62" t="s">
        <v>31</v>
      </c>
      <c r="I42" s="62" t="s">
        <v>97</v>
      </c>
      <c r="J42" s="62" t="s">
        <v>32</v>
      </c>
      <c r="K42" s="62" t="s">
        <v>100</v>
      </c>
    </row>
    <row r="43" spans="1:11" ht="38.25" x14ac:dyDescent="0.25">
      <c r="A43" s="62">
        <v>40</v>
      </c>
      <c r="B43" s="62" t="s">
        <v>135</v>
      </c>
      <c r="C43" s="62" t="s">
        <v>63</v>
      </c>
      <c r="D43" s="84">
        <v>4</v>
      </c>
      <c r="E43" s="62" t="s">
        <v>13</v>
      </c>
      <c r="F43" s="65">
        <f>7000*3.5%+7000</f>
        <v>7245</v>
      </c>
      <c r="G43" s="65">
        <f t="shared" si="0"/>
        <v>28980</v>
      </c>
      <c r="H43" s="62" t="s">
        <v>31</v>
      </c>
      <c r="I43" s="62" t="s">
        <v>97</v>
      </c>
      <c r="J43" s="62" t="s">
        <v>32</v>
      </c>
      <c r="K43" s="62" t="s">
        <v>100</v>
      </c>
    </row>
    <row r="44" spans="1:11" ht="38.25" x14ac:dyDescent="0.25">
      <c r="A44" s="62">
        <v>41</v>
      </c>
      <c r="B44" s="62" t="s">
        <v>136</v>
      </c>
      <c r="C44" s="62" t="s">
        <v>63</v>
      </c>
      <c r="D44" s="84">
        <v>4</v>
      </c>
      <c r="E44" s="62" t="s">
        <v>13</v>
      </c>
      <c r="F44" s="65">
        <f>3500*3.5%+3500</f>
        <v>3622.5</v>
      </c>
      <c r="G44" s="65">
        <f t="shared" si="0"/>
        <v>14490</v>
      </c>
      <c r="H44" s="62" t="s">
        <v>31</v>
      </c>
      <c r="I44" s="62" t="s">
        <v>97</v>
      </c>
      <c r="J44" s="62" t="s">
        <v>32</v>
      </c>
      <c r="K44" s="62" t="s">
        <v>100</v>
      </c>
    </row>
    <row r="45" spans="1:11" ht="38.25" x14ac:dyDescent="0.25">
      <c r="A45" s="62">
        <v>42</v>
      </c>
      <c r="B45" s="62" t="s">
        <v>137</v>
      </c>
      <c r="C45" s="62" t="s">
        <v>63</v>
      </c>
      <c r="D45" s="84">
        <v>4</v>
      </c>
      <c r="E45" s="62" t="s">
        <v>13</v>
      </c>
      <c r="F45" s="65">
        <f>2500*3.5%+2500</f>
        <v>2587.5</v>
      </c>
      <c r="G45" s="65">
        <f t="shared" si="0"/>
        <v>10350</v>
      </c>
      <c r="H45" s="62" t="s">
        <v>31</v>
      </c>
      <c r="I45" s="62" t="s">
        <v>97</v>
      </c>
      <c r="J45" s="62" t="s">
        <v>32</v>
      </c>
      <c r="K45" s="62" t="s">
        <v>100</v>
      </c>
    </row>
    <row r="46" spans="1:11" ht="38.25" x14ac:dyDescent="0.25">
      <c r="A46" s="62">
        <v>43</v>
      </c>
      <c r="B46" s="62" t="s">
        <v>138</v>
      </c>
      <c r="C46" s="62" t="s">
        <v>63</v>
      </c>
      <c r="D46" s="84">
        <v>4</v>
      </c>
      <c r="E46" s="62" t="s">
        <v>13</v>
      </c>
      <c r="F46" s="65">
        <f>1800*3.5%+1800</f>
        <v>1863</v>
      </c>
      <c r="G46" s="65">
        <f t="shared" si="0"/>
        <v>7452</v>
      </c>
      <c r="H46" s="62" t="s">
        <v>31</v>
      </c>
      <c r="I46" s="62" t="s">
        <v>97</v>
      </c>
      <c r="J46" s="62" t="s">
        <v>32</v>
      </c>
      <c r="K46" s="62" t="s">
        <v>100</v>
      </c>
    </row>
    <row r="47" spans="1:11" ht="38.25" x14ac:dyDescent="0.25">
      <c r="A47" s="62">
        <v>44</v>
      </c>
      <c r="B47" s="62" t="s">
        <v>139</v>
      </c>
      <c r="C47" s="62" t="s">
        <v>63</v>
      </c>
      <c r="D47" s="84">
        <v>4</v>
      </c>
      <c r="E47" s="62" t="s">
        <v>13</v>
      </c>
      <c r="F47" s="65">
        <f>1000*3.5%+1000</f>
        <v>1035</v>
      </c>
      <c r="G47" s="65">
        <f t="shared" si="0"/>
        <v>4140</v>
      </c>
      <c r="H47" s="62" t="s">
        <v>31</v>
      </c>
      <c r="I47" s="62" t="s">
        <v>97</v>
      </c>
      <c r="J47" s="62" t="s">
        <v>32</v>
      </c>
      <c r="K47" s="62" t="s">
        <v>100</v>
      </c>
    </row>
    <row r="48" spans="1:11" ht="38.25" x14ac:dyDescent="0.25">
      <c r="A48" s="62">
        <v>45</v>
      </c>
      <c r="B48" s="62" t="s">
        <v>140</v>
      </c>
      <c r="C48" s="62" t="s">
        <v>63</v>
      </c>
      <c r="D48" s="84">
        <v>4</v>
      </c>
      <c r="E48" s="62" t="s">
        <v>13</v>
      </c>
      <c r="F48" s="65">
        <f>3500*3.5%+3500</f>
        <v>3622.5</v>
      </c>
      <c r="G48" s="65">
        <f t="shared" si="0"/>
        <v>14490</v>
      </c>
      <c r="H48" s="62" t="s">
        <v>31</v>
      </c>
      <c r="I48" s="62" t="s">
        <v>97</v>
      </c>
      <c r="J48" s="62" t="s">
        <v>32</v>
      </c>
      <c r="K48" s="62" t="s">
        <v>100</v>
      </c>
    </row>
    <row r="49" spans="1:11" ht="38.25" x14ac:dyDescent="0.25">
      <c r="A49" s="62">
        <v>46</v>
      </c>
      <c r="B49" s="62" t="s">
        <v>141</v>
      </c>
      <c r="C49" s="62" t="s">
        <v>63</v>
      </c>
      <c r="D49" s="84">
        <v>4</v>
      </c>
      <c r="E49" s="62" t="s">
        <v>13</v>
      </c>
      <c r="F49" s="65">
        <f>3000*3.5%+3000</f>
        <v>3105</v>
      </c>
      <c r="G49" s="65">
        <f t="shared" si="0"/>
        <v>12420</v>
      </c>
      <c r="H49" s="62" t="s">
        <v>31</v>
      </c>
      <c r="I49" s="62" t="s">
        <v>97</v>
      </c>
      <c r="J49" s="62" t="s">
        <v>32</v>
      </c>
      <c r="K49" s="62" t="s">
        <v>100</v>
      </c>
    </row>
    <row r="50" spans="1:11" ht="38.25" x14ac:dyDescent="0.25">
      <c r="A50" s="62">
        <v>47</v>
      </c>
      <c r="B50" s="62" t="s">
        <v>142</v>
      </c>
      <c r="C50" s="62" t="s">
        <v>63</v>
      </c>
      <c r="D50" s="84">
        <v>4</v>
      </c>
      <c r="E50" s="62" t="s">
        <v>13</v>
      </c>
      <c r="F50" s="65">
        <f>1800*3.5%+1800</f>
        <v>1863</v>
      </c>
      <c r="G50" s="65">
        <f t="shared" si="0"/>
        <v>7452</v>
      </c>
      <c r="H50" s="62" t="s">
        <v>31</v>
      </c>
      <c r="I50" s="62" t="s">
        <v>97</v>
      </c>
      <c r="J50" s="62" t="s">
        <v>32</v>
      </c>
      <c r="K50" s="62" t="s">
        <v>100</v>
      </c>
    </row>
    <row r="51" spans="1:11" ht="38.25" x14ac:dyDescent="0.25">
      <c r="A51" s="62">
        <v>48</v>
      </c>
      <c r="B51" s="62" t="s">
        <v>143</v>
      </c>
      <c r="C51" s="62" t="s">
        <v>63</v>
      </c>
      <c r="D51" s="84">
        <v>4</v>
      </c>
      <c r="E51" s="62" t="s">
        <v>13</v>
      </c>
      <c r="F51" s="65">
        <v>1400</v>
      </c>
      <c r="G51" s="65">
        <f t="shared" si="0"/>
        <v>5600</v>
      </c>
      <c r="H51" s="62" t="s">
        <v>31</v>
      </c>
      <c r="I51" s="62" t="s">
        <v>97</v>
      </c>
      <c r="J51" s="62" t="s">
        <v>32</v>
      </c>
      <c r="K51" s="62" t="s">
        <v>100</v>
      </c>
    </row>
    <row r="52" spans="1:11" ht="38.25" x14ac:dyDescent="0.25">
      <c r="A52" s="62">
        <v>49</v>
      </c>
      <c r="B52" s="62" t="s">
        <v>144</v>
      </c>
      <c r="C52" s="62" t="s">
        <v>63</v>
      </c>
      <c r="D52" s="84">
        <v>4</v>
      </c>
      <c r="E52" s="62" t="s">
        <v>13</v>
      </c>
      <c r="F52" s="65">
        <f>1000*3.5%+1000</f>
        <v>1035</v>
      </c>
      <c r="G52" s="65">
        <f t="shared" si="0"/>
        <v>4140</v>
      </c>
      <c r="H52" s="62" t="s">
        <v>31</v>
      </c>
      <c r="I52" s="62" t="s">
        <v>97</v>
      </c>
      <c r="J52" s="62" t="s">
        <v>32</v>
      </c>
      <c r="K52" s="62" t="s">
        <v>100</v>
      </c>
    </row>
    <row r="53" spans="1:11" ht="38.25" x14ac:dyDescent="0.25">
      <c r="A53" s="62">
        <v>50</v>
      </c>
      <c r="B53" s="62" t="s">
        <v>145</v>
      </c>
      <c r="C53" s="62" t="s">
        <v>63</v>
      </c>
      <c r="D53" s="84">
        <v>6</v>
      </c>
      <c r="E53" s="62" t="s">
        <v>13</v>
      </c>
      <c r="F53" s="65">
        <v>8000</v>
      </c>
      <c r="G53" s="65">
        <f t="shared" si="0"/>
        <v>48000</v>
      </c>
      <c r="H53" s="62" t="s">
        <v>31</v>
      </c>
      <c r="I53" s="62" t="s">
        <v>97</v>
      </c>
      <c r="J53" s="62" t="s">
        <v>32</v>
      </c>
      <c r="K53" s="62" t="s">
        <v>100</v>
      </c>
    </row>
    <row r="54" spans="1:11" ht="38.25" x14ac:dyDescent="0.25">
      <c r="A54" s="62">
        <v>51</v>
      </c>
      <c r="B54" s="62" t="s">
        <v>146</v>
      </c>
      <c r="C54" s="62" t="s">
        <v>63</v>
      </c>
      <c r="D54" s="84">
        <v>4</v>
      </c>
      <c r="E54" s="62" t="s">
        <v>13</v>
      </c>
      <c r="F54" s="65">
        <f>45000*3.5%+45000</f>
        <v>46575</v>
      </c>
      <c r="G54" s="65">
        <f t="shared" si="0"/>
        <v>186300</v>
      </c>
      <c r="H54" s="62" t="s">
        <v>31</v>
      </c>
      <c r="I54" s="62" t="s">
        <v>97</v>
      </c>
      <c r="J54" s="62" t="s">
        <v>32</v>
      </c>
      <c r="K54" s="62" t="s">
        <v>100</v>
      </c>
    </row>
    <row r="55" spans="1:11" ht="38.25" x14ac:dyDescent="0.25">
      <c r="A55" s="62">
        <v>52</v>
      </c>
      <c r="B55" s="62" t="s">
        <v>147</v>
      </c>
      <c r="C55" s="62" t="s">
        <v>63</v>
      </c>
      <c r="D55" s="84">
        <v>4</v>
      </c>
      <c r="E55" s="62" t="s">
        <v>13</v>
      </c>
      <c r="F55" s="65">
        <v>10000</v>
      </c>
      <c r="G55" s="65">
        <f t="shared" si="0"/>
        <v>40000</v>
      </c>
      <c r="H55" s="62" t="s">
        <v>31</v>
      </c>
      <c r="I55" s="62" t="s">
        <v>97</v>
      </c>
      <c r="J55" s="62" t="s">
        <v>32</v>
      </c>
      <c r="K55" s="62" t="s">
        <v>100</v>
      </c>
    </row>
    <row r="56" spans="1:11" ht="38.25" x14ac:dyDescent="0.25">
      <c r="A56" s="62">
        <v>53</v>
      </c>
      <c r="B56" s="62" t="s">
        <v>148</v>
      </c>
      <c r="C56" s="62" t="s">
        <v>63</v>
      </c>
      <c r="D56" s="84">
        <v>4</v>
      </c>
      <c r="E56" s="62" t="s">
        <v>13</v>
      </c>
      <c r="F56" s="65">
        <v>3000</v>
      </c>
      <c r="G56" s="65">
        <f t="shared" si="0"/>
        <v>12000</v>
      </c>
      <c r="H56" s="62" t="s">
        <v>31</v>
      </c>
      <c r="I56" s="62" t="s">
        <v>97</v>
      </c>
      <c r="J56" s="62" t="s">
        <v>32</v>
      </c>
      <c r="K56" s="62" t="s">
        <v>100</v>
      </c>
    </row>
    <row r="57" spans="1:11" ht="38.25" x14ac:dyDescent="0.25">
      <c r="A57" s="62">
        <v>54</v>
      </c>
      <c r="B57" s="62" t="s">
        <v>149</v>
      </c>
      <c r="C57" s="62" t="s">
        <v>63</v>
      </c>
      <c r="D57" s="84">
        <v>4</v>
      </c>
      <c r="E57" s="62" t="s">
        <v>13</v>
      </c>
      <c r="F57" s="65">
        <v>7500</v>
      </c>
      <c r="G57" s="65">
        <f t="shared" si="0"/>
        <v>30000</v>
      </c>
      <c r="H57" s="62" t="s">
        <v>31</v>
      </c>
      <c r="I57" s="62" t="s">
        <v>97</v>
      </c>
      <c r="J57" s="62" t="s">
        <v>32</v>
      </c>
      <c r="K57" s="62" t="s">
        <v>100</v>
      </c>
    </row>
    <row r="58" spans="1:11" ht="38.25" x14ac:dyDescent="0.25">
      <c r="A58" s="62">
        <v>55</v>
      </c>
      <c r="B58" s="62" t="s">
        <v>150</v>
      </c>
      <c r="C58" s="62" t="s">
        <v>63</v>
      </c>
      <c r="D58" s="84">
        <v>4</v>
      </c>
      <c r="E58" s="62" t="s">
        <v>13</v>
      </c>
      <c r="F58" s="65">
        <v>300</v>
      </c>
      <c r="G58" s="65">
        <f t="shared" si="0"/>
        <v>1200</v>
      </c>
      <c r="H58" s="62" t="s">
        <v>31</v>
      </c>
      <c r="I58" s="62" t="s">
        <v>97</v>
      </c>
      <c r="J58" s="62" t="s">
        <v>32</v>
      </c>
      <c r="K58" s="62" t="s">
        <v>100</v>
      </c>
    </row>
    <row r="59" spans="1:11" ht="38.25" x14ac:dyDescent="0.25">
      <c r="A59" s="62">
        <v>56</v>
      </c>
      <c r="B59" s="62" t="s">
        <v>151</v>
      </c>
      <c r="C59" s="62" t="s">
        <v>63</v>
      </c>
      <c r="D59" s="84">
        <v>4</v>
      </c>
      <c r="E59" s="62" t="s">
        <v>13</v>
      </c>
      <c r="F59" s="65">
        <f>3000*3.5%+3000</f>
        <v>3105</v>
      </c>
      <c r="G59" s="65">
        <f t="shared" si="0"/>
        <v>12420</v>
      </c>
      <c r="H59" s="62" t="s">
        <v>31</v>
      </c>
      <c r="I59" s="62" t="s">
        <v>97</v>
      </c>
      <c r="J59" s="62" t="s">
        <v>32</v>
      </c>
      <c r="K59" s="62" t="s">
        <v>100</v>
      </c>
    </row>
    <row r="60" spans="1:11" ht="38.25" x14ac:dyDescent="0.25">
      <c r="A60" s="62">
        <v>57</v>
      </c>
      <c r="B60" s="62" t="s">
        <v>152</v>
      </c>
      <c r="C60" s="62" t="s">
        <v>63</v>
      </c>
      <c r="D60" s="84">
        <v>4</v>
      </c>
      <c r="E60" s="62" t="s">
        <v>13</v>
      </c>
      <c r="F60" s="65">
        <f>1800*3.5%+1800</f>
        <v>1863</v>
      </c>
      <c r="G60" s="65">
        <f t="shared" si="0"/>
        <v>7452</v>
      </c>
      <c r="H60" s="62" t="s">
        <v>31</v>
      </c>
      <c r="I60" s="62" t="s">
        <v>97</v>
      </c>
      <c r="J60" s="62" t="s">
        <v>32</v>
      </c>
      <c r="K60" s="62" t="s">
        <v>100</v>
      </c>
    </row>
    <row r="61" spans="1:11" ht="38.25" x14ac:dyDescent="0.25">
      <c r="A61" s="62">
        <v>58</v>
      </c>
      <c r="B61" s="62" t="s">
        <v>150</v>
      </c>
      <c r="C61" s="62" t="s">
        <v>63</v>
      </c>
      <c r="D61" s="84">
        <v>4</v>
      </c>
      <c r="E61" s="62" t="s">
        <v>13</v>
      </c>
      <c r="F61" s="65">
        <f>300*3.5%+300</f>
        <v>310.5</v>
      </c>
      <c r="G61" s="65">
        <f t="shared" si="0"/>
        <v>1242</v>
      </c>
      <c r="H61" s="62" t="s">
        <v>31</v>
      </c>
      <c r="I61" s="62" t="s">
        <v>97</v>
      </c>
      <c r="J61" s="62" t="s">
        <v>32</v>
      </c>
      <c r="K61" s="62" t="s">
        <v>100</v>
      </c>
    </row>
    <row r="62" spans="1:11" ht="38.25" x14ac:dyDescent="0.25">
      <c r="A62" s="62">
        <v>59</v>
      </c>
      <c r="B62" s="62" t="s">
        <v>153</v>
      </c>
      <c r="C62" s="62" t="s">
        <v>63</v>
      </c>
      <c r="D62" s="84">
        <v>4</v>
      </c>
      <c r="E62" s="62" t="s">
        <v>13</v>
      </c>
      <c r="F62" s="65">
        <f>1000*3.5%+1000</f>
        <v>1035</v>
      </c>
      <c r="G62" s="65">
        <f t="shared" si="0"/>
        <v>4140</v>
      </c>
      <c r="H62" s="62" t="s">
        <v>31</v>
      </c>
      <c r="I62" s="62" t="s">
        <v>97</v>
      </c>
      <c r="J62" s="62" t="s">
        <v>32</v>
      </c>
      <c r="K62" s="62" t="s">
        <v>100</v>
      </c>
    </row>
    <row r="63" spans="1:11" ht="38.25" x14ac:dyDescent="0.25">
      <c r="A63" s="62">
        <v>60</v>
      </c>
      <c r="B63" s="62" t="s">
        <v>154</v>
      </c>
      <c r="C63" s="62" t="s">
        <v>63</v>
      </c>
      <c r="D63" s="84">
        <v>4</v>
      </c>
      <c r="E63" s="62" t="s">
        <v>13</v>
      </c>
      <c r="F63" s="65">
        <f>8600*3.5%+8600</f>
        <v>8901</v>
      </c>
      <c r="G63" s="65">
        <f t="shared" si="0"/>
        <v>35604</v>
      </c>
      <c r="H63" s="62" t="s">
        <v>31</v>
      </c>
      <c r="I63" s="62" t="s">
        <v>97</v>
      </c>
      <c r="J63" s="62" t="s">
        <v>32</v>
      </c>
      <c r="K63" s="62" t="s">
        <v>100</v>
      </c>
    </row>
    <row r="64" spans="1:11" ht="38.25" x14ac:dyDescent="0.25">
      <c r="A64" s="62">
        <v>61</v>
      </c>
      <c r="B64" s="62" t="s">
        <v>155</v>
      </c>
      <c r="C64" s="62" t="s">
        <v>63</v>
      </c>
      <c r="D64" s="84">
        <v>4</v>
      </c>
      <c r="E64" s="62" t="s">
        <v>13</v>
      </c>
      <c r="F64" s="65">
        <f>3000*3.5%+3000</f>
        <v>3105</v>
      </c>
      <c r="G64" s="65">
        <f t="shared" si="0"/>
        <v>12420</v>
      </c>
      <c r="H64" s="62" t="s">
        <v>31</v>
      </c>
      <c r="I64" s="62" t="s">
        <v>97</v>
      </c>
      <c r="J64" s="62" t="s">
        <v>32</v>
      </c>
      <c r="K64" s="62" t="s">
        <v>100</v>
      </c>
    </row>
    <row r="65" spans="1:11" ht="38.25" x14ac:dyDescent="0.25">
      <c r="A65" s="62">
        <v>62</v>
      </c>
      <c r="B65" s="62" t="s">
        <v>156</v>
      </c>
      <c r="C65" s="62" t="s">
        <v>63</v>
      </c>
      <c r="D65" s="84">
        <v>4</v>
      </c>
      <c r="E65" s="62" t="s">
        <v>13</v>
      </c>
      <c r="F65" s="65">
        <f>7000*3.5%+7000</f>
        <v>7245</v>
      </c>
      <c r="G65" s="65">
        <f t="shared" si="0"/>
        <v>28980</v>
      </c>
      <c r="H65" s="62" t="s">
        <v>31</v>
      </c>
      <c r="I65" s="62" t="s">
        <v>97</v>
      </c>
      <c r="J65" s="62" t="s">
        <v>32</v>
      </c>
      <c r="K65" s="62" t="s">
        <v>100</v>
      </c>
    </row>
    <row r="66" spans="1:11" ht="38.25" x14ac:dyDescent="0.25">
      <c r="A66" s="62">
        <v>63</v>
      </c>
      <c r="B66" s="62" t="s">
        <v>157</v>
      </c>
      <c r="C66" s="62" t="s">
        <v>63</v>
      </c>
      <c r="D66" s="84">
        <v>4</v>
      </c>
      <c r="E66" s="62" t="s">
        <v>13</v>
      </c>
      <c r="F66" s="65">
        <f>9000*3.5%+9000</f>
        <v>9315</v>
      </c>
      <c r="G66" s="65">
        <f t="shared" si="0"/>
        <v>37260</v>
      </c>
      <c r="H66" s="62" t="s">
        <v>31</v>
      </c>
      <c r="I66" s="62" t="s">
        <v>97</v>
      </c>
      <c r="J66" s="62" t="s">
        <v>32</v>
      </c>
      <c r="K66" s="62" t="s">
        <v>100</v>
      </c>
    </row>
    <row r="67" spans="1:11" ht="38.25" x14ac:dyDescent="0.25">
      <c r="A67" s="62">
        <v>64</v>
      </c>
      <c r="B67" s="62" t="s">
        <v>158</v>
      </c>
      <c r="C67" s="62" t="s">
        <v>63</v>
      </c>
      <c r="D67" s="84">
        <v>4</v>
      </c>
      <c r="E67" s="62" t="s">
        <v>13</v>
      </c>
      <c r="F67" s="65">
        <f>5000*3.5%+5000</f>
        <v>5175</v>
      </c>
      <c r="G67" s="65">
        <f t="shared" si="0"/>
        <v>20700</v>
      </c>
      <c r="H67" s="62" t="s">
        <v>31</v>
      </c>
      <c r="I67" s="62" t="s">
        <v>97</v>
      </c>
      <c r="J67" s="62" t="s">
        <v>32</v>
      </c>
      <c r="K67" s="62" t="s">
        <v>100</v>
      </c>
    </row>
    <row r="68" spans="1:11" ht="38.25" x14ac:dyDescent="0.25">
      <c r="A68" s="62">
        <v>65</v>
      </c>
      <c r="B68" s="62" t="s">
        <v>159</v>
      </c>
      <c r="C68" s="62" t="s">
        <v>63</v>
      </c>
      <c r="D68" s="84">
        <v>4</v>
      </c>
      <c r="E68" s="62" t="s">
        <v>13</v>
      </c>
      <c r="F68" s="65">
        <f>39000*3.5%+39000</f>
        <v>40365</v>
      </c>
      <c r="G68" s="65">
        <f t="shared" si="0"/>
        <v>161460</v>
      </c>
      <c r="H68" s="62" t="s">
        <v>31</v>
      </c>
      <c r="I68" s="62" t="s">
        <v>97</v>
      </c>
      <c r="J68" s="62" t="s">
        <v>32</v>
      </c>
      <c r="K68" s="62" t="s">
        <v>100</v>
      </c>
    </row>
    <row r="69" spans="1:11" ht="38.25" x14ac:dyDescent="0.25">
      <c r="A69" s="62">
        <v>66</v>
      </c>
      <c r="B69" s="62" t="s">
        <v>160</v>
      </c>
      <c r="C69" s="62" t="s">
        <v>63</v>
      </c>
      <c r="D69" s="84">
        <v>4</v>
      </c>
      <c r="E69" s="62" t="s">
        <v>13</v>
      </c>
      <c r="F69" s="65">
        <f>320000*3.5%+320000</f>
        <v>331200</v>
      </c>
      <c r="G69" s="65">
        <f t="shared" ref="G69:G117" si="3">+D69*F69</f>
        <v>1324800</v>
      </c>
      <c r="H69" s="62" t="s">
        <v>31</v>
      </c>
      <c r="I69" s="62" t="s">
        <v>97</v>
      </c>
      <c r="J69" s="62" t="s">
        <v>32</v>
      </c>
      <c r="K69" s="62" t="s">
        <v>100</v>
      </c>
    </row>
    <row r="70" spans="1:11" ht="38.25" x14ac:dyDescent="0.25">
      <c r="A70" s="62">
        <v>67</v>
      </c>
      <c r="B70" s="62" t="s">
        <v>161</v>
      </c>
      <c r="C70" s="62" t="s">
        <v>63</v>
      </c>
      <c r="D70" s="84">
        <v>4</v>
      </c>
      <c r="E70" s="62" t="s">
        <v>13</v>
      </c>
      <c r="F70" s="65">
        <f>7000*3.5%+7000</f>
        <v>7245</v>
      </c>
      <c r="G70" s="65">
        <f t="shared" si="3"/>
        <v>28980</v>
      </c>
      <c r="H70" s="62" t="s">
        <v>31</v>
      </c>
      <c r="I70" s="62" t="s">
        <v>97</v>
      </c>
      <c r="J70" s="62" t="s">
        <v>32</v>
      </c>
      <c r="K70" s="62" t="s">
        <v>100</v>
      </c>
    </row>
    <row r="71" spans="1:11" ht="38.25" x14ac:dyDescent="0.25">
      <c r="A71" s="62">
        <v>68</v>
      </c>
      <c r="B71" s="62" t="s">
        <v>162</v>
      </c>
      <c r="C71" s="62" t="s">
        <v>63</v>
      </c>
      <c r="D71" s="84">
        <v>4</v>
      </c>
      <c r="E71" s="62" t="s">
        <v>13</v>
      </c>
      <c r="F71" s="65">
        <f>5500*3.5%+5500</f>
        <v>5692.5</v>
      </c>
      <c r="G71" s="65">
        <f t="shared" si="3"/>
        <v>22770</v>
      </c>
      <c r="H71" s="62" t="s">
        <v>31</v>
      </c>
      <c r="I71" s="62" t="s">
        <v>97</v>
      </c>
      <c r="J71" s="62" t="s">
        <v>32</v>
      </c>
      <c r="K71" s="62" t="s">
        <v>100</v>
      </c>
    </row>
    <row r="72" spans="1:11" ht="38.25" x14ac:dyDescent="0.25">
      <c r="A72" s="62">
        <v>69</v>
      </c>
      <c r="B72" s="62" t="s">
        <v>163</v>
      </c>
      <c r="C72" s="62" t="s">
        <v>63</v>
      </c>
      <c r="D72" s="84">
        <v>4</v>
      </c>
      <c r="E72" s="62" t="s">
        <v>13</v>
      </c>
      <c r="F72" s="65">
        <f>9000*3.5%+9000</f>
        <v>9315</v>
      </c>
      <c r="G72" s="65">
        <f t="shared" si="3"/>
        <v>37260</v>
      </c>
      <c r="H72" s="62" t="s">
        <v>31</v>
      </c>
      <c r="I72" s="62" t="s">
        <v>97</v>
      </c>
      <c r="J72" s="62" t="s">
        <v>32</v>
      </c>
      <c r="K72" s="62" t="s">
        <v>100</v>
      </c>
    </row>
    <row r="73" spans="1:11" ht="38.25" x14ac:dyDescent="0.25">
      <c r="A73" s="62">
        <v>70</v>
      </c>
      <c r="B73" s="62" t="s">
        <v>164</v>
      </c>
      <c r="C73" s="62" t="s">
        <v>63</v>
      </c>
      <c r="D73" s="84">
        <v>4</v>
      </c>
      <c r="E73" s="62" t="s">
        <v>13</v>
      </c>
      <c r="F73" s="65">
        <f>49000*3.5%+49000</f>
        <v>50715</v>
      </c>
      <c r="G73" s="65">
        <f t="shared" si="3"/>
        <v>202860</v>
      </c>
      <c r="H73" s="62" t="s">
        <v>31</v>
      </c>
      <c r="I73" s="62" t="s">
        <v>97</v>
      </c>
      <c r="J73" s="62" t="s">
        <v>32</v>
      </c>
      <c r="K73" s="62" t="s">
        <v>100</v>
      </c>
    </row>
    <row r="74" spans="1:11" ht="38.25" x14ac:dyDescent="0.25">
      <c r="A74" s="62">
        <v>71</v>
      </c>
      <c r="B74" s="62" t="s">
        <v>165</v>
      </c>
      <c r="C74" s="62" t="s">
        <v>63</v>
      </c>
      <c r="D74" s="84">
        <v>4</v>
      </c>
      <c r="E74" s="62" t="s">
        <v>13</v>
      </c>
      <c r="F74" s="65">
        <f>3200000*3.5%+3200000</f>
        <v>3312000</v>
      </c>
      <c r="G74" s="65">
        <f t="shared" si="3"/>
        <v>13248000</v>
      </c>
      <c r="H74" s="62" t="s">
        <v>31</v>
      </c>
      <c r="I74" s="62" t="s">
        <v>97</v>
      </c>
      <c r="J74" s="62" t="s">
        <v>32</v>
      </c>
      <c r="K74" s="62" t="s">
        <v>100</v>
      </c>
    </row>
    <row r="75" spans="1:11" ht="38.25" x14ac:dyDescent="0.25">
      <c r="A75" s="62">
        <v>72</v>
      </c>
      <c r="B75" s="62" t="s">
        <v>166</v>
      </c>
      <c r="C75" s="62" t="s">
        <v>63</v>
      </c>
      <c r="D75" s="84">
        <v>4</v>
      </c>
      <c r="E75" s="62" t="s">
        <v>13</v>
      </c>
      <c r="F75" s="65">
        <f>720000*3.5%+720000</f>
        <v>745200</v>
      </c>
      <c r="G75" s="65">
        <f t="shared" si="3"/>
        <v>2980800</v>
      </c>
      <c r="H75" s="62" t="s">
        <v>31</v>
      </c>
      <c r="I75" s="62" t="s">
        <v>97</v>
      </c>
      <c r="J75" s="62" t="s">
        <v>32</v>
      </c>
      <c r="K75" s="62" t="s">
        <v>100</v>
      </c>
    </row>
    <row r="76" spans="1:11" ht="38.25" x14ac:dyDescent="0.25">
      <c r="A76" s="62">
        <v>73</v>
      </c>
      <c r="B76" s="62" t="s">
        <v>167</v>
      </c>
      <c r="C76" s="62" t="s">
        <v>63</v>
      </c>
      <c r="D76" s="84">
        <v>4</v>
      </c>
      <c r="E76" s="62" t="s">
        <v>13</v>
      </c>
      <c r="F76" s="65">
        <f>1000*3.5%+1000</f>
        <v>1035</v>
      </c>
      <c r="G76" s="65">
        <f t="shared" si="3"/>
        <v>4140</v>
      </c>
      <c r="H76" s="62" t="s">
        <v>31</v>
      </c>
      <c r="I76" s="62" t="s">
        <v>97</v>
      </c>
      <c r="J76" s="62" t="s">
        <v>32</v>
      </c>
      <c r="K76" s="62" t="s">
        <v>100</v>
      </c>
    </row>
    <row r="77" spans="1:11" ht="38.25" x14ac:dyDescent="0.25">
      <c r="A77" s="62">
        <v>74</v>
      </c>
      <c r="B77" s="62" t="s">
        <v>168</v>
      </c>
      <c r="C77" s="62" t="s">
        <v>63</v>
      </c>
      <c r="D77" s="84">
        <v>4</v>
      </c>
      <c r="E77" s="62" t="s">
        <v>13</v>
      </c>
      <c r="F77" s="65">
        <f>690000*3.5%+690000</f>
        <v>714150</v>
      </c>
      <c r="G77" s="65">
        <f t="shared" si="3"/>
        <v>2856600</v>
      </c>
      <c r="H77" s="62" t="s">
        <v>31</v>
      </c>
      <c r="I77" s="62" t="s">
        <v>97</v>
      </c>
      <c r="J77" s="62" t="s">
        <v>32</v>
      </c>
      <c r="K77" s="62" t="s">
        <v>100</v>
      </c>
    </row>
    <row r="78" spans="1:11" ht="38.25" x14ac:dyDescent="0.25">
      <c r="A78" s="62">
        <v>75</v>
      </c>
      <c r="B78" s="62" t="s">
        <v>169</v>
      </c>
      <c r="C78" s="62" t="s">
        <v>63</v>
      </c>
      <c r="D78" s="84">
        <v>4</v>
      </c>
      <c r="E78" s="62" t="s">
        <v>13</v>
      </c>
      <c r="F78" s="65">
        <f>690000*3.5%+690000</f>
        <v>714150</v>
      </c>
      <c r="G78" s="65">
        <f t="shared" si="3"/>
        <v>2856600</v>
      </c>
      <c r="H78" s="62" t="s">
        <v>31</v>
      </c>
      <c r="I78" s="62" t="s">
        <v>97</v>
      </c>
      <c r="J78" s="62" t="s">
        <v>32</v>
      </c>
      <c r="K78" s="62" t="s">
        <v>100</v>
      </c>
    </row>
    <row r="79" spans="1:11" ht="38.25" x14ac:dyDescent="0.25">
      <c r="A79" s="62">
        <v>76</v>
      </c>
      <c r="B79" s="62" t="s">
        <v>170</v>
      </c>
      <c r="C79" s="62" t="s">
        <v>63</v>
      </c>
      <c r="D79" s="84">
        <v>4</v>
      </c>
      <c r="E79" s="62" t="s">
        <v>13</v>
      </c>
      <c r="F79" s="65">
        <f>220000*3.5%+220000</f>
        <v>227700</v>
      </c>
      <c r="G79" s="65">
        <f t="shared" si="3"/>
        <v>910800</v>
      </c>
      <c r="H79" s="62" t="s">
        <v>31</v>
      </c>
      <c r="I79" s="62" t="s">
        <v>97</v>
      </c>
      <c r="J79" s="62" t="s">
        <v>32</v>
      </c>
      <c r="K79" s="62" t="s">
        <v>100</v>
      </c>
    </row>
    <row r="80" spans="1:11" ht="38.25" x14ac:dyDescent="0.25">
      <c r="A80" s="62">
        <v>77</v>
      </c>
      <c r="B80" s="62" t="s">
        <v>171</v>
      </c>
      <c r="C80" s="62" t="s">
        <v>63</v>
      </c>
      <c r="D80" s="84">
        <v>4</v>
      </c>
      <c r="E80" s="62" t="s">
        <v>13</v>
      </c>
      <c r="F80" s="65">
        <f>280000*3.5%+280000</f>
        <v>289800</v>
      </c>
      <c r="G80" s="65">
        <f t="shared" si="3"/>
        <v>1159200</v>
      </c>
      <c r="H80" s="62" t="s">
        <v>31</v>
      </c>
      <c r="I80" s="62" t="s">
        <v>97</v>
      </c>
      <c r="J80" s="62" t="s">
        <v>32</v>
      </c>
      <c r="K80" s="62" t="s">
        <v>100</v>
      </c>
    </row>
    <row r="81" spans="1:11" ht="38.25" x14ac:dyDescent="0.25">
      <c r="A81" s="62">
        <v>78</v>
      </c>
      <c r="B81" s="62" t="s">
        <v>172</v>
      </c>
      <c r="C81" s="62" t="s">
        <v>63</v>
      </c>
      <c r="D81" s="84">
        <v>4</v>
      </c>
      <c r="E81" s="62" t="s">
        <v>13</v>
      </c>
      <c r="F81" s="65">
        <f>48000*3.5%+48000</f>
        <v>49680</v>
      </c>
      <c r="G81" s="65">
        <f t="shared" si="3"/>
        <v>198720</v>
      </c>
      <c r="H81" s="62" t="s">
        <v>31</v>
      </c>
      <c r="I81" s="62" t="s">
        <v>97</v>
      </c>
      <c r="J81" s="62" t="s">
        <v>32</v>
      </c>
      <c r="K81" s="62" t="s">
        <v>100</v>
      </c>
    </row>
    <row r="82" spans="1:11" ht="38.25" x14ac:dyDescent="0.25">
      <c r="A82" s="62">
        <v>79</v>
      </c>
      <c r="B82" s="62" t="s">
        <v>173</v>
      </c>
      <c r="C82" s="62" t="s">
        <v>63</v>
      </c>
      <c r="D82" s="84">
        <v>4</v>
      </c>
      <c r="E82" s="62" t="s">
        <v>13</v>
      </c>
      <c r="F82" s="65">
        <f>65000*3.5%+65000</f>
        <v>67275</v>
      </c>
      <c r="G82" s="65">
        <f t="shared" si="3"/>
        <v>269100</v>
      </c>
      <c r="H82" s="62" t="s">
        <v>31</v>
      </c>
      <c r="I82" s="62" t="s">
        <v>97</v>
      </c>
      <c r="J82" s="62" t="s">
        <v>32</v>
      </c>
      <c r="K82" s="62" t="s">
        <v>100</v>
      </c>
    </row>
    <row r="83" spans="1:11" ht="38.25" x14ac:dyDescent="0.25">
      <c r="A83" s="62">
        <v>80</v>
      </c>
      <c r="B83" s="62" t="s">
        <v>174</v>
      </c>
      <c r="C83" s="62" t="s">
        <v>63</v>
      </c>
      <c r="D83" s="84">
        <v>4</v>
      </c>
      <c r="E83" s="62" t="s">
        <v>13</v>
      </c>
      <c r="F83" s="65">
        <f>198000*3.5%+198000</f>
        <v>204930</v>
      </c>
      <c r="G83" s="65">
        <f t="shared" si="3"/>
        <v>819720</v>
      </c>
      <c r="H83" s="62" t="s">
        <v>31</v>
      </c>
      <c r="I83" s="62" t="s">
        <v>97</v>
      </c>
      <c r="J83" s="62" t="s">
        <v>32</v>
      </c>
      <c r="K83" s="62" t="s">
        <v>100</v>
      </c>
    </row>
    <row r="84" spans="1:11" ht="38.25" x14ac:dyDescent="0.25">
      <c r="A84" s="62">
        <v>81</v>
      </c>
      <c r="B84" s="62" t="s">
        <v>175</v>
      </c>
      <c r="C84" s="62" t="s">
        <v>63</v>
      </c>
      <c r="D84" s="84">
        <v>4</v>
      </c>
      <c r="E84" s="62" t="s">
        <v>13</v>
      </c>
      <c r="F84" s="65">
        <f>55000*3.5%+55000</f>
        <v>56925</v>
      </c>
      <c r="G84" s="65">
        <f t="shared" si="3"/>
        <v>227700</v>
      </c>
      <c r="H84" s="62" t="s">
        <v>31</v>
      </c>
      <c r="I84" s="62" t="s">
        <v>97</v>
      </c>
      <c r="J84" s="62" t="s">
        <v>32</v>
      </c>
      <c r="K84" s="62" t="s">
        <v>100</v>
      </c>
    </row>
    <row r="85" spans="1:11" ht="38.25" x14ac:dyDescent="0.25">
      <c r="A85" s="62">
        <v>82</v>
      </c>
      <c r="B85" s="62" t="s">
        <v>176</v>
      </c>
      <c r="C85" s="62" t="s">
        <v>63</v>
      </c>
      <c r="D85" s="84">
        <v>4</v>
      </c>
      <c r="E85" s="62" t="s">
        <v>13</v>
      </c>
      <c r="F85" s="65">
        <f>86000*3.5%+86000</f>
        <v>89010</v>
      </c>
      <c r="G85" s="65">
        <f t="shared" si="3"/>
        <v>356040</v>
      </c>
      <c r="H85" s="62" t="s">
        <v>31</v>
      </c>
      <c r="I85" s="62" t="s">
        <v>97</v>
      </c>
      <c r="J85" s="62" t="s">
        <v>32</v>
      </c>
      <c r="K85" s="62" t="s">
        <v>100</v>
      </c>
    </row>
    <row r="86" spans="1:11" ht="38.25" x14ac:dyDescent="0.25">
      <c r="A86" s="62">
        <v>83</v>
      </c>
      <c r="B86" s="62" t="s">
        <v>177</v>
      </c>
      <c r="C86" s="62" t="s">
        <v>63</v>
      </c>
      <c r="D86" s="84">
        <v>4</v>
      </c>
      <c r="E86" s="62" t="s">
        <v>13</v>
      </c>
      <c r="F86" s="65">
        <f>28000*3.5%+28000</f>
        <v>28980</v>
      </c>
      <c r="G86" s="65">
        <f t="shared" si="3"/>
        <v>115920</v>
      </c>
      <c r="H86" s="62" t="s">
        <v>31</v>
      </c>
      <c r="I86" s="62" t="s">
        <v>97</v>
      </c>
      <c r="J86" s="62" t="s">
        <v>32</v>
      </c>
      <c r="K86" s="62" t="s">
        <v>100</v>
      </c>
    </row>
    <row r="87" spans="1:11" ht="38.25" x14ac:dyDescent="0.25">
      <c r="A87" s="62">
        <v>84</v>
      </c>
      <c r="B87" s="62" t="s">
        <v>178</v>
      </c>
      <c r="C87" s="62" t="s">
        <v>63</v>
      </c>
      <c r="D87" s="84">
        <v>4</v>
      </c>
      <c r="E87" s="62" t="s">
        <v>13</v>
      </c>
      <c r="F87" s="65">
        <f>430000*3.5%+430000</f>
        <v>445050</v>
      </c>
      <c r="G87" s="65">
        <f t="shared" si="3"/>
        <v>1780200</v>
      </c>
      <c r="H87" s="62" t="s">
        <v>31</v>
      </c>
      <c r="I87" s="62" t="s">
        <v>97</v>
      </c>
      <c r="J87" s="62" t="s">
        <v>32</v>
      </c>
      <c r="K87" s="62" t="s">
        <v>100</v>
      </c>
    </row>
    <row r="88" spans="1:11" ht="38.25" x14ac:dyDescent="0.25">
      <c r="A88" s="62">
        <v>85</v>
      </c>
      <c r="B88" s="62" t="s">
        <v>179</v>
      </c>
      <c r="C88" s="62" t="s">
        <v>63</v>
      </c>
      <c r="D88" s="84">
        <v>4</v>
      </c>
      <c r="E88" s="62" t="s">
        <v>13</v>
      </c>
      <c r="F88" s="65">
        <f>400000*3.5%+400000</f>
        <v>414000</v>
      </c>
      <c r="G88" s="65">
        <f t="shared" si="3"/>
        <v>1656000</v>
      </c>
      <c r="H88" s="62" t="s">
        <v>31</v>
      </c>
      <c r="I88" s="62" t="s">
        <v>97</v>
      </c>
      <c r="J88" s="62" t="s">
        <v>32</v>
      </c>
      <c r="K88" s="62" t="s">
        <v>100</v>
      </c>
    </row>
    <row r="89" spans="1:11" ht="38.25" x14ac:dyDescent="0.25">
      <c r="A89" s="62">
        <v>86</v>
      </c>
      <c r="B89" s="62" t="s">
        <v>180</v>
      </c>
      <c r="C89" s="62" t="s">
        <v>63</v>
      </c>
      <c r="D89" s="84">
        <v>4</v>
      </c>
      <c r="E89" s="62" t="s">
        <v>13</v>
      </c>
      <c r="F89" s="65">
        <f>42000*3.5%+42000</f>
        <v>43470</v>
      </c>
      <c r="G89" s="65">
        <f t="shared" si="3"/>
        <v>173880</v>
      </c>
      <c r="H89" s="62" t="s">
        <v>31</v>
      </c>
      <c r="I89" s="62" t="s">
        <v>97</v>
      </c>
      <c r="J89" s="62" t="s">
        <v>32</v>
      </c>
      <c r="K89" s="62" t="s">
        <v>100</v>
      </c>
    </row>
    <row r="90" spans="1:11" ht="38.25" x14ac:dyDescent="0.25">
      <c r="A90" s="62">
        <v>87</v>
      </c>
      <c r="B90" s="62" t="s">
        <v>181</v>
      </c>
      <c r="C90" s="62" t="s">
        <v>63</v>
      </c>
      <c r="D90" s="84">
        <v>4</v>
      </c>
      <c r="E90" s="62" t="s">
        <v>13</v>
      </c>
      <c r="F90" s="65">
        <f>38000*3.5%+38000</f>
        <v>39330</v>
      </c>
      <c r="G90" s="65">
        <f t="shared" si="3"/>
        <v>157320</v>
      </c>
      <c r="H90" s="62" t="s">
        <v>31</v>
      </c>
      <c r="I90" s="62" t="s">
        <v>97</v>
      </c>
      <c r="J90" s="62" t="s">
        <v>32</v>
      </c>
      <c r="K90" s="62" t="s">
        <v>100</v>
      </c>
    </row>
    <row r="91" spans="1:11" ht="38.25" x14ac:dyDescent="0.25">
      <c r="A91" s="62">
        <v>88</v>
      </c>
      <c r="B91" s="62" t="s">
        <v>182</v>
      </c>
      <c r="C91" s="62" t="s">
        <v>63</v>
      </c>
      <c r="D91" s="84">
        <v>4</v>
      </c>
      <c r="E91" s="62" t="s">
        <v>13</v>
      </c>
      <c r="F91" s="65">
        <f>40000*3.5%+40000</f>
        <v>41400</v>
      </c>
      <c r="G91" s="65">
        <f t="shared" si="3"/>
        <v>165600</v>
      </c>
      <c r="H91" s="62" t="s">
        <v>31</v>
      </c>
      <c r="I91" s="62" t="s">
        <v>97</v>
      </c>
      <c r="J91" s="62" t="s">
        <v>32</v>
      </c>
      <c r="K91" s="62" t="s">
        <v>100</v>
      </c>
    </row>
    <row r="92" spans="1:11" ht="38.25" x14ac:dyDescent="0.25">
      <c r="A92" s="62">
        <v>89</v>
      </c>
      <c r="B92" s="62" t="s">
        <v>180</v>
      </c>
      <c r="C92" s="62" t="s">
        <v>63</v>
      </c>
      <c r="D92" s="84">
        <v>4</v>
      </c>
      <c r="E92" s="62" t="s">
        <v>13</v>
      </c>
      <c r="F92" s="65">
        <f>42000*3.5%+42000</f>
        <v>43470</v>
      </c>
      <c r="G92" s="65">
        <f t="shared" si="3"/>
        <v>173880</v>
      </c>
      <c r="H92" s="62" t="s">
        <v>31</v>
      </c>
      <c r="I92" s="62" t="s">
        <v>97</v>
      </c>
      <c r="J92" s="62" t="s">
        <v>32</v>
      </c>
      <c r="K92" s="62" t="s">
        <v>100</v>
      </c>
    </row>
    <row r="93" spans="1:11" ht="38.25" x14ac:dyDescent="0.25">
      <c r="A93" s="62">
        <v>90</v>
      </c>
      <c r="B93" s="62" t="s">
        <v>183</v>
      </c>
      <c r="C93" s="62" t="s">
        <v>63</v>
      </c>
      <c r="D93" s="84">
        <v>4</v>
      </c>
      <c r="E93" s="62" t="s">
        <v>13</v>
      </c>
      <c r="F93" s="65">
        <f>39000*3.5%+39000</f>
        <v>40365</v>
      </c>
      <c r="G93" s="65">
        <f t="shared" si="3"/>
        <v>161460</v>
      </c>
      <c r="H93" s="62" t="s">
        <v>31</v>
      </c>
      <c r="I93" s="62" t="s">
        <v>97</v>
      </c>
      <c r="J93" s="62" t="s">
        <v>32</v>
      </c>
      <c r="K93" s="62" t="s">
        <v>100</v>
      </c>
    </row>
    <row r="94" spans="1:11" ht="38.25" x14ac:dyDescent="0.25">
      <c r="A94" s="62">
        <v>91</v>
      </c>
      <c r="B94" s="62" t="s">
        <v>184</v>
      </c>
      <c r="C94" s="62" t="s">
        <v>63</v>
      </c>
      <c r="D94" s="84">
        <v>4</v>
      </c>
      <c r="E94" s="62" t="s">
        <v>13</v>
      </c>
      <c r="F94" s="65">
        <f>1000*3.5%+1000</f>
        <v>1035</v>
      </c>
      <c r="G94" s="65">
        <f t="shared" si="3"/>
        <v>4140</v>
      </c>
      <c r="H94" s="62" t="s">
        <v>31</v>
      </c>
      <c r="I94" s="62" t="s">
        <v>97</v>
      </c>
      <c r="J94" s="62" t="s">
        <v>32</v>
      </c>
      <c r="K94" s="62" t="s">
        <v>100</v>
      </c>
    </row>
    <row r="95" spans="1:11" ht="38.25" x14ac:dyDescent="0.25">
      <c r="A95" s="62">
        <v>92</v>
      </c>
      <c r="B95" s="62" t="s">
        <v>185</v>
      </c>
      <c r="C95" s="62" t="s">
        <v>63</v>
      </c>
      <c r="D95" s="84">
        <v>4</v>
      </c>
      <c r="E95" s="62" t="s">
        <v>13</v>
      </c>
      <c r="F95" s="65">
        <f>100000*3.5%+100000</f>
        <v>103500</v>
      </c>
      <c r="G95" s="65">
        <f t="shared" si="3"/>
        <v>414000</v>
      </c>
      <c r="H95" s="62" t="s">
        <v>31</v>
      </c>
      <c r="I95" s="62" t="s">
        <v>97</v>
      </c>
      <c r="J95" s="62" t="s">
        <v>32</v>
      </c>
      <c r="K95" s="62" t="s">
        <v>100</v>
      </c>
    </row>
    <row r="96" spans="1:11" ht="38.25" x14ac:dyDescent="0.25">
      <c r="A96" s="62">
        <v>93</v>
      </c>
      <c r="B96" s="62" t="s">
        <v>186</v>
      </c>
      <c r="C96" s="62" t="s">
        <v>63</v>
      </c>
      <c r="D96" s="84">
        <v>4</v>
      </c>
      <c r="E96" s="62" t="s">
        <v>13</v>
      </c>
      <c r="F96" s="65">
        <f>13000*3.5%+13000</f>
        <v>13455</v>
      </c>
      <c r="G96" s="65">
        <f t="shared" si="3"/>
        <v>53820</v>
      </c>
      <c r="H96" s="62" t="s">
        <v>31</v>
      </c>
      <c r="I96" s="62" t="s">
        <v>97</v>
      </c>
      <c r="J96" s="62" t="s">
        <v>32</v>
      </c>
      <c r="K96" s="62" t="s">
        <v>100</v>
      </c>
    </row>
    <row r="97" spans="1:11" ht="38.25" x14ac:dyDescent="0.25">
      <c r="A97" s="62">
        <v>94</v>
      </c>
      <c r="B97" s="62" t="s">
        <v>187</v>
      </c>
      <c r="C97" s="62" t="s">
        <v>63</v>
      </c>
      <c r="D97" s="84">
        <v>4</v>
      </c>
      <c r="E97" s="62" t="s">
        <v>13</v>
      </c>
      <c r="F97" s="65">
        <f>17000*3.5%+17000</f>
        <v>17595</v>
      </c>
      <c r="G97" s="65">
        <f t="shared" si="3"/>
        <v>70380</v>
      </c>
      <c r="H97" s="62" t="s">
        <v>31</v>
      </c>
      <c r="I97" s="62" t="s">
        <v>97</v>
      </c>
      <c r="J97" s="62" t="s">
        <v>32</v>
      </c>
      <c r="K97" s="62" t="s">
        <v>100</v>
      </c>
    </row>
    <row r="98" spans="1:11" ht="38.25" x14ac:dyDescent="0.25">
      <c r="A98" s="62">
        <v>95</v>
      </c>
      <c r="B98" s="62" t="s">
        <v>188</v>
      </c>
      <c r="C98" s="62" t="s">
        <v>63</v>
      </c>
      <c r="D98" s="84">
        <v>4</v>
      </c>
      <c r="E98" s="62" t="s">
        <v>13</v>
      </c>
      <c r="F98" s="65">
        <f>400*3.5%+400</f>
        <v>414</v>
      </c>
      <c r="G98" s="65">
        <f t="shared" si="3"/>
        <v>1656</v>
      </c>
      <c r="H98" s="62" t="s">
        <v>31</v>
      </c>
      <c r="I98" s="62" t="s">
        <v>97</v>
      </c>
      <c r="J98" s="62" t="s">
        <v>32</v>
      </c>
      <c r="K98" s="62" t="s">
        <v>100</v>
      </c>
    </row>
    <row r="99" spans="1:11" ht="38.25" x14ac:dyDescent="0.25">
      <c r="A99" s="62">
        <v>96</v>
      </c>
      <c r="B99" s="62" t="s">
        <v>189</v>
      </c>
      <c r="C99" s="62" t="s">
        <v>63</v>
      </c>
      <c r="D99" s="84">
        <v>4</v>
      </c>
      <c r="E99" s="62" t="s">
        <v>13</v>
      </c>
      <c r="F99" s="65">
        <f>300*3.5%+300</f>
        <v>310.5</v>
      </c>
      <c r="G99" s="65">
        <f t="shared" si="3"/>
        <v>1242</v>
      </c>
      <c r="H99" s="62" t="s">
        <v>31</v>
      </c>
      <c r="I99" s="62" t="s">
        <v>97</v>
      </c>
      <c r="J99" s="62" t="s">
        <v>32</v>
      </c>
      <c r="K99" s="62" t="s">
        <v>100</v>
      </c>
    </row>
    <row r="100" spans="1:11" ht="38.25" x14ac:dyDescent="0.25">
      <c r="A100" s="62">
        <v>97</v>
      </c>
      <c r="B100" s="62" t="s">
        <v>190</v>
      </c>
      <c r="C100" s="62" t="s">
        <v>63</v>
      </c>
      <c r="D100" s="84">
        <v>4</v>
      </c>
      <c r="E100" s="62" t="s">
        <v>13</v>
      </c>
      <c r="F100" s="65">
        <f t="shared" ref="F100:F101" si="4">400*3.5%+400</f>
        <v>414</v>
      </c>
      <c r="G100" s="65">
        <f t="shared" si="3"/>
        <v>1656</v>
      </c>
      <c r="H100" s="62" t="s">
        <v>31</v>
      </c>
      <c r="I100" s="62" t="s">
        <v>97</v>
      </c>
      <c r="J100" s="62" t="s">
        <v>32</v>
      </c>
      <c r="K100" s="62" t="s">
        <v>100</v>
      </c>
    </row>
    <row r="101" spans="1:11" ht="38.25" x14ac:dyDescent="0.25">
      <c r="A101" s="62">
        <v>98</v>
      </c>
      <c r="B101" s="62" t="s">
        <v>191</v>
      </c>
      <c r="C101" s="62" t="s">
        <v>63</v>
      </c>
      <c r="D101" s="84">
        <v>4</v>
      </c>
      <c r="E101" s="62" t="s">
        <v>13</v>
      </c>
      <c r="F101" s="65">
        <f t="shared" si="4"/>
        <v>414</v>
      </c>
      <c r="G101" s="65">
        <f t="shared" si="3"/>
        <v>1656</v>
      </c>
      <c r="H101" s="62" t="s">
        <v>31</v>
      </c>
      <c r="I101" s="62" t="s">
        <v>97</v>
      </c>
      <c r="J101" s="62" t="s">
        <v>32</v>
      </c>
      <c r="K101" s="62" t="s">
        <v>100</v>
      </c>
    </row>
    <row r="102" spans="1:11" ht="38.25" x14ac:dyDescent="0.25">
      <c r="A102" s="62">
        <v>99</v>
      </c>
      <c r="B102" s="62" t="s">
        <v>192</v>
      </c>
      <c r="C102" s="62" t="s">
        <v>63</v>
      </c>
      <c r="D102" s="84">
        <v>4</v>
      </c>
      <c r="E102" s="62" t="s">
        <v>13</v>
      </c>
      <c r="F102" s="65">
        <f>3000*3.5%+3000</f>
        <v>3105</v>
      </c>
      <c r="G102" s="65">
        <f t="shared" si="3"/>
        <v>12420</v>
      </c>
      <c r="H102" s="62" t="s">
        <v>31</v>
      </c>
      <c r="I102" s="62" t="s">
        <v>97</v>
      </c>
      <c r="J102" s="62" t="s">
        <v>32</v>
      </c>
      <c r="K102" s="62" t="s">
        <v>100</v>
      </c>
    </row>
    <row r="103" spans="1:11" ht="38.25" x14ac:dyDescent="0.25">
      <c r="A103" s="62">
        <v>100</v>
      </c>
      <c r="B103" s="62" t="s">
        <v>193</v>
      </c>
      <c r="C103" s="62" t="s">
        <v>63</v>
      </c>
      <c r="D103" s="84">
        <v>4</v>
      </c>
      <c r="E103" s="62" t="s">
        <v>13</v>
      </c>
      <c r="F103" s="65">
        <f>4000*3.5%+4000</f>
        <v>4140</v>
      </c>
      <c r="G103" s="65">
        <f t="shared" si="3"/>
        <v>16560</v>
      </c>
      <c r="H103" s="62" t="s">
        <v>31</v>
      </c>
      <c r="I103" s="62" t="s">
        <v>97</v>
      </c>
      <c r="J103" s="62" t="s">
        <v>32</v>
      </c>
      <c r="K103" s="62" t="s">
        <v>100</v>
      </c>
    </row>
    <row r="104" spans="1:11" ht="38.25" x14ac:dyDescent="0.25">
      <c r="A104" s="62">
        <v>101</v>
      </c>
      <c r="B104" s="62" t="s">
        <v>194</v>
      </c>
      <c r="C104" s="62" t="s">
        <v>63</v>
      </c>
      <c r="D104" s="84">
        <v>4</v>
      </c>
      <c r="E104" s="62" t="s">
        <v>13</v>
      </c>
      <c r="F104" s="65">
        <f>9000*3.5%+9000</f>
        <v>9315</v>
      </c>
      <c r="G104" s="65">
        <f t="shared" si="3"/>
        <v>37260</v>
      </c>
      <c r="H104" s="62" t="s">
        <v>31</v>
      </c>
      <c r="I104" s="62" t="s">
        <v>97</v>
      </c>
      <c r="J104" s="62" t="s">
        <v>32</v>
      </c>
      <c r="K104" s="62" t="s">
        <v>100</v>
      </c>
    </row>
    <row r="105" spans="1:11" ht="38.25" x14ac:dyDescent="0.25">
      <c r="A105" s="62">
        <v>102</v>
      </c>
      <c r="B105" s="62" t="s">
        <v>195</v>
      </c>
      <c r="C105" s="62" t="s">
        <v>63</v>
      </c>
      <c r="D105" s="84">
        <v>4</v>
      </c>
      <c r="E105" s="62" t="s">
        <v>13</v>
      </c>
      <c r="F105" s="65">
        <f>1300*3.5%+1300</f>
        <v>1345.5</v>
      </c>
      <c r="G105" s="65">
        <f t="shared" si="3"/>
        <v>5382</v>
      </c>
      <c r="H105" s="62" t="s">
        <v>31</v>
      </c>
      <c r="I105" s="62" t="s">
        <v>97</v>
      </c>
      <c r="J105" s="62" t="s">
        <v>32</v>
      </c>
      <c r="K105" s="62" t="s">
        <v>100</v>
      </c>
    </row>
    <row r="106" spans="1:11" ht="38.25" x14ac:dyDescent="0.25">
      <c r="A106" s="62">
        <v>103</v>
      </c>
      <c r="B106" s="62" t="s">
        <v>196</v>
      </c>
      <c r="C106" s="62" t="s">
        <v>63</v>
      </c>
      <c r="D106" s="84">
        <v>4</v>
      </c>
      <c r="E106" s="62" t="s">
        <v>13</v>
      </c>
      <c r="F106" s="65">
        <f>5000*3.5%+5000</f>
        <v>5175</v>
      </c>
      <c r="G106" s="65">
        <f t="shared" si="3"/>
        <v>20700</v>
      </c>
      <c r="H106" s="62" t="s">
        <v>31</v>
      </c>
      <c r="I106" s="62" t="s">
        <v>97</v>
      </c>
      <c r="J106" s="62" t="s">
        <v>32</v>
      </c>
      <c r="K106" s="62" t="s">
        <v>100</v>
      </c>
    </row>
    <row r="107" spans="1:11" ht="38.25" x14ac:dyDescent="0.25">
      <c r="A107" s="62">
        <v>104</v>
      </c>
      <c r="B107" s="62" t="s">
        <v>197</v>
      </c>
      <c r="C107" s="62" t="s">
        <v>63</v>
      </c>
      <c r="D107" s="84">
        <v>4</v>
      </c>
      <c r="E107" s="62" t="s">
        <v>13</v>
      </c>
      <c r="F107" s="65">
        <f>6000*3.5%+6000</f>
        <v>6210</v>
      </c>
      <c r="G107" s="65">
        <f t="shared" si="3"/>
        <v>24840</v>
      </c>
      <c r="H107" s="62" t="s">
        <v>31</v>
      </c>
      <c r="I107" s="62" t="s">
        <v>97</v>
      </c>
      <c r="J107" s="62" t="s">
        <v>32</v>
      </c>
      <c r="K107" s="62" t="s">
        <v>100</v>
      </c>
    </row>
    <row r="108" spans="1:11" ht="38.25" x14ac:dyDescent="0.25">
      <c r="A108" s="62">
        <v>105</v>
      </c>
      <c r="B108" s="62" t="s">
        <v>198</v>
      </c>
      <c r="C108" s="62" t="s">
        <v>63</v>
      </c>
      <c r="D108" s="84">
        <v>4</v>
      </c>
      <c r="E108" s="62" t="s">
        <v>13</v>
      </c>
      <c r="F108" s="65">
        <f>8500*3.5%+8500</f>
        <v>8797.5</v>
      </c>
      <c r="G108" s="65">
        <f t="shared" si="3"/>
        <v>35190</v>
      </c>
      <c r="H108" s="62" t="s">
        <v>31</v>
      </c>
      <c r="I108" s="62" t="s">
        <v>97</v>
      </c>
      <c r="J108" s="62" t="s">
        <v>32</v>
      </c>
      <c r="K108" s="62" t="s">
        <v>100</v>
      </c>
    </row>
    <row r="109" spans="1:11" ht="38.25" x14ac:dyDescent="0.25">
      <c r="A109" s="62">
        <v>106</v>
      </c>
      <c r="B109" s="62" t="s">
        <v>199</v>
      </c>
      <c r="C109" s="62" t="s">
        <v>63</v>
      </c>
      <c r="D109" s="84">
        <v>4</v>
      </c>
      <c r="E109" s="62" t="s">
        <v>13</v>
      </c>
      <c r="F109" s="65">
        <f>12000*3.5%+12000</f>
        <v>12420</v>
      </c>
      <c r="G109" s="65">
        <f t="shared" si="3"/>
        <v>49680</v>
      </c>
      <c r="H109" s="62" t="s">
        <v>31</v>
      </c>
      <c r="I109" s="62" t="s">
        <v>97</v>
      </c>
      <c r="J109" s="62" t="s">
        <v>32</v>
      </c>
      <c r="K109" s="62" t="s">
        <v>100</v>
      </c>
    </row>
    <row r="110" spans="1:11" ht="38.25" x14ac:dyDescent="0.25">
      <c r="A110" s="62">
        <v>107</v>
      </c>
      <c r="B110" s="62" t="s">
        <v>200</v>
      </c>
      <c r="C110" s="62" t="s">
        <v>63</v>
      </c>
      <c r="D110" s="84">
        <v>4</v>
      </c>
      <c r="E110" s="62" t="s">
        <v>13</v>
      </c>
      <c r="F110" s="65">
        <f>49000*3.5%+49000</f>
        <v>50715</v>
      </c>
      <c r="G110" s="65">
        <f t="shared" si="3"/>
        <v>202860</v>
      </c>
      <c r="H110" s="62" t="s">
        <v>31</v>
      </c>
      <c r="I110" s="62" t="s">
        <v>97</v>
      </c>
      <c r="J110" s="62" t="s">
        <v>32</v>
      </c>
      <c r="K110" s="62" t="s">
        <v>100</v>
      </c>
    </row>
    <row r="111" spans="1:11" ht="38.25" x14ac:dyDescent="0.25">
      <c r="A111" s="62">
        <v>108</v>
      </c>
      <c r="B111" s="62" t="s">
        <v>201</v>
      </c>
      <c r="C111" s="62" t="s">
        <v>63</v>
      </c>
      <c r="D111" s="84">
        <v>4</v>
      </c>
      <c r="E111" s="62" t="s">
        <v>13</v>
      </c>
      <c r="F111" s="65">
        <f>7000*3.5%+7000</f>
        <v>7245</v>
      </c>
      <c r="G111" s="65">
        <f t="shared" si="3"/>
        <v>28980</v>
      </c>
      <c r="H111" s="62" t="s">
        <v>31</v>
      </c>
      <c r="I111" s="62" t="s">
        <v>97</v>
      </c>
      <c r="J111" s="62" t="s">
        <v>32</v>
      </c>
      <c r="K111" s="62" t="s">
        <v>100</v>
      </c>
    </row>
    <row r="112" spans="1:11" ht="38.25" x14ac:dyDescent="0.25">
      <c r="A112" s="62">
        <v>109</v>
      </c>
      <c r="B112" s="62" t="s">
        <v>202</v>
      </c>
      <c r="C112" s="62" t="s">
        <v>63</v>
      </c>
      <c r="D112" s="84">
        <v>4</v>
      </c>
      <c r="E112" s="62" t="s">
        <v>13</v>
      </c>
      <c r="F112" s="65">
        <f>5500*3.5%+5500</f>
        <v>5692.5</v>
      </c>
      <c r="G112" s="65">
        <f t="shared" si="3"/>
        <v>22770</v>
      </c>
      <c r="H112" s="62" t="s">
        <v>31</v>
      </c>
      <c r="I112" s="62" t="s">
        <v>97</v>
      </c>
      <c r="J112" s="62" t="s">
        <v>32</v>
      </c>
      <c r="K112" s="62" t="s">
        <v>100</v>
      </c>
    </row>
    <row r="113" spans="1:11" ht="38.25" x14ac:dyDescent="0.25">
      <c r="A113" s="62">
        <v>110</v>
      </c>
      <c r="B113" s="62" t="s">
        <v>203</v>
      </c>
      <c r="C113" s="62" t="s">
        <v>63</v>
      </c>
      <c r="D113" s="84">
        <v>4</v>
      </c>
      <c r="E113" s="62" t="s">
        <v>13</v>
      </c>
      <c r="F113" s="65">
        <f>2500*3.5%+2500</f>
        <v>2587.5</v>
      </c>
      <c r="G113" s="65">
        <f t="shared" si="3"/>
        <v>10350</v>
      </c>
      <c r="H113" s="62" t="s">
        <v>31</v>
      </c>
      <c r="I113" s="62" t="s">
        <v>97</v>
      </c>
      <c r="J113" s="62" t="s">
        <v>32</v>
      </c>
      <c r="K113" s="62" t="s">
        <v>100</v>
      </c>
    </row>
    <row r="114" spans="1:11" ht="38.25" x14ac:dyDescent="0.25">
      <c r="A114" s="62">
        <v>111</v>
      </c>
      <c r="B114" s="62" t="s">
        <v>204</v>
      </c>
      <c r="C114" s="62" t="s">
        <v>63</v>
      </c>
      <c r="D114" s="84">
        <v>4</v>
      </c>
      <c r="E114" s="62" t="s">
        <v>13</v>
      </c>
      <c r="F114" s="65">
        <f>+G114/D114</f>
        <v>6547.5</v>
      </c>
      <c r="G114" s="65">
        <v>26190</v>
      </c>
      <c r="H114" s="62" t="s">
        <v>31</v>
      </c>
      <c r="I114" s="62" t="s">
        <v>97</v>
      </c>
      <c r="J114" s="62" t="s">
        <v>32</v>
      </c>
      <c r="K114" s="62" t="s">
        <v>100</v>
      </c>
    </row>
    <row r="115" spans="1:11" ht="38.25" x14ac:dyDescent="0.25">
      <c r="A115" s="62">
        <v>112</v>
      </c>
      <c r="B115" s="62" t="s">
        <v>205</v>
      </c>
      <c r="C115" s="62" t="s">
        <v>63</v>
      </c>
      <c r="D115" s="84">
        <v>4</v>
      </c>
      <c r="E115" s="62" t="s">
        <v>13</v>
      </c>
      <c r="F115" s="65">
        <f>8000*3.5%+8000</f>
        <v>8280</v>
      </c>
      <c r="G115" s="65">
        <f t="shared" si="3"/>
        <v>33120</v>
      </c>
      <c r="H115" s="62" t="s">
        <v>31</v>
      </c>
      <c r="I115" s="62" t="s">
        <v>97</v>
      </c>
      <c r="J115" s="62" t="s">
        <v>32</v>
      </c>
      <c r="K115" s="62" t="s">
        <v>100</v>
      </c>
    </row>
    <row r="116" spans="1:11" ht="38.25" x14ac:dyDescent="0.25">
      <c r="A116" s="62">
        <v>113</v>
      </c>
      <c r="B116" s="62" t="s">
        <v>206</v>
      </c>
      <c r="C116" s="62" t="s">
        <v>63</v>
      </c>
      <c r="D116" s="84">
        <v>4</v>
      </c>
      <c r="E116" s="62" t="s">
        <v>13</v>
      </c>
      <c r="F116" s="65">
        <f>68000*3.5%+68000</f>
        <v>70380</v>
      </c>
      <c r="G116" s="65">
        <f t="shared" si="3"/>
        <v>281520</v>
      </c>
      <c r="H116" s="62" t="s">
        <v>31</v>
      </c>
      <c r="I116" s="62" t="s">
        <v>97</v>
      </c>
      <c r="J116" s="62" t="s">
        <v>32</v>
      </c>
      <c r="K116" s="62" t="s">
        <v>100</v>
      </c>
    </row>
    <row r="117" spans="1:11" ht="38.25" x14ac:dyDescent="0.25">
      <c r="A117" s="62">
        <v>114</v>
      </c>
      <c r="B117" s="62" t="s">
        <v>207</v>
      </c>
      <c r="C117" s="62" t="s">
        <v>63</v>
      </c>
      <c r="D117" s="84">
        <v>4</v>
      </c>
      <c r="E117" s="62" t="s">
        <v>13</v>
      </c>
      <c r="F117" s="65">
        <f>85000*3.5%+85000</f>
        <v>87975</v>
      </c>
      <c r="G117" s="65">
        <f t="shared" si="3"/>
        <v>351900</v>
      </c>
      <c r="H117" s="62" t="s">
        <v>31</v>
      </c>
      <c r="I117" s="62" t="s">
        <v>97</v>
      </c>
      <c r="J117" s="62" t="s">
        <v>32</v>
      </c>
      <c r="K117" s="62" t="s">
        <v>100</v>
      </c>
    </row>
    <row r="118" spans="1:11" x14ac:dyDescent="0.25">
      <c r="G118" s="11">
        <f>SUM(G4:G117)</f>
        <v>49999999.5</v>
      </c>
    </row>
    <row r="120" spans="1:11" x14ac:dyDescent="0.25">
      <c r="G120" s="37"/>
    </row>
  </sheetData>
  <mergeCells count="2">
    <mergeCell ref="A1:K1"/>
    <mergeCell ref="A2:D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K5"/>
  <sheetViews>
    <sheetView workbookViewId="0">
      <selection sqref="A1:K1"/>
    </sheetView>
  </sheetViews>
  <sheetFormatPr baseColWidth="10" defaultRowHeight="15" x14ac:dyDescent="0.25"/>
  <cols>
    <col min="2" max="2" width="18.85546875" customWidth="1"/>
    <col min="3" max="3" width="19" customWidth="1"/>
    <col min="6" max="7" width="13.140625" bestFit="1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106" t="s">
        <v>523</v>
      </c>
      <c r="B2" s="107"/>
      <c r="C2" s="107"/>
      <c r="D2" s="107"/>
      <c r="E2" s="107"/>
      <c r="F2" s="47"/>
      <c r="G2" s="47"/>
      <c r="H2" s="45" t="s">
        <v>23</v>
      </c>
      <c r="I2" s="45"/>
      <c r="J2" s="45"/>
      <c r="K2" s="46">
        <v>42000000</v>
      </c>
    </row>
    <row r="3" spans="1:11" ht="38.25" x14ac:dyDescent="0.25">
      <c r="A3" s="8" t="s">
        <v>0</v>
      </c>
      <c r="B3" s="8" t="s">
        <v>92</v>
      </c>
      <c r="C3" s="8" t="s">
        <v>2</v>
      </c>
      <c r="D3" s="8" t="s">
        <v>3</v>
      </c>
      <c r="E3" s="8" t="s">
        <v>4</v>
      </c>
      <c r="F3" s="8" t="s">
        <v>8</v>
      </c>
      <c r="G3" s="8" t="s">
        <v>522</v>
      </c>
      <c r="H3" s="8" t="s">
        <v>93</v>
      </c>
      <c r="I3" s="8" t="s">
        <v>94</v>
      </c>
      <c r="J3" s="8" t="s">
        <v>28</v>
      </c>
      <c r="K3" s="8" t="s">
        <v>9</v>
      </c>
    </row>
    <row r="4" spans="1:11" ht="63.75" x14ac:dyDescent="0.25">
      <c r="A4" s="62">
        <v>1</v>
      </c>
      <c r="B4" s="62" t="s">
        <v>208</v>
      </c>
      <c r="C4" s="62" t="s">
        <v>209</v>
      </c>
      <c r="D4" s="62" t="s">
        <v>210</v>
      </c>
      <c r="E4" s="62">
        <v>1</v>
      </c>
      <c r="F4" s="65">
        <v>42000000</v>
      </c>
      <c r="G4" s="65">
        <f>E4*F4</f>
        <v>42000000</v>
      </c>
      <c r="H4" s="62" t="s">
        <v>31</v>
      </c>
      <c r="I4" s="62" t="s">
        <v>536</v>
      </c>
      <c r="J4" s="62" t="s">
        <v>32</v>
      </c>
      <c r="K4" s="62" t="s">
        <v>211</v>
      </c>
    </row>
    <row r="5" spans="1:11" x14ac:dyDescent="0.25">
      <c r="A5" s="1"/>
      <c r="B5" s="1" t="s">
        <v>34</v>
      </c>
      <c r="C5" s="1"/>
      <c r="D5" s="1"/>
      <c r="E5" s="1"/>
      <c r="F5" s="1"/>
      <c r="G5" s="48">
        <f>SUM(G4)</f>
        <v>42000000</v>
      </c>
      <c r="H5" s="1"/>
      <c r="I5" s="1"/>
      <c r="J5" s="1"/>
      <c r="K5" s="1"/>
    </row>
  </sheetData>
  <mergeCells count="2">
    <mergeCell ref="A1:K1"/>
    <mergeCell ref="A2:E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75"/>
  <sheetViews>
    <sheetView workbookViewId="0">
      <selection activeCell="G5" sqref="G5"/>
    </sheetView>
  </sheetViews>
  <sheetFormatPr baseColWidth="10" defaultRowHeight="15" x14ac:dyDescent="0.25"/>
  <cols>
    <col min="2" max="2" width="15.85546875" customWidth="1"/>
    <col min="3" max="3" width="25.5703125" customWidth="1"/>
    <col min="6" max="6" width="16.5703125" customWidth="1"/>
    <col min="7" max="7" width="13.140625" bestFit="1" customWidth="1"/>
    <col min="9" max="9" width="14.7109375" customWidth="1"/>
    <col min="11" max="11" width="17.42578125" bestFit="1" customWidth="1"/>
  </cols>
  <sheetData>
    <row r="1" spans="1:11" ht="15.75" x14ac:dyDescent="0.25">
      <c r="A1" s="96" t="s">
        <v>569</v>
      </c>
      <c r="B1" s="98"/>
      <c r="C1" s="98"/>
      <c r="D1" s="98"/>
      <c r="E1" s="98"/>
      <c r="F1" s="98"/>
      <c r="G1" s="98"/>
      <c r="H1" s="98"/>
      <c r="I1" s="98"/>
      <c r="J1" s="98"/>
      <c r="K1" s="103"/>
    </row>
    <row r="2" spans="1:11" ht="15.75" x14ac:dyDescent="0.25">
      <c r="A2" s="38" t="s">
        <v>526</v>
      </c>
      <c r="B2" s="39"/>
      <c r="C2" s="39"/>
      <c r="D2" s="39"/>
      <c r="E2" s="47"/>
      <c r="F2" s="47"/>
      <c r="G2" s="47"/>
      <c r="H2" s="47"/>
      <c r="I2" s="39" t="s">
        <v>330</v>
      </c>
      <c r="J2" s="39"/>
      <c r="K2" s="54">
        <v>50000000</v>
      </c>
    </row>
    <row r="3" spans="1:11" ht="51" x14ac:dyDescent="0.25">
      <c r="A3" s="8" t="s">
        <v>0</v>
      </c>
      <c r="B3" s="8" t="s">
        <v>24</v>
      </c>
      <c r="C3" s="8" t="s">
        <v>2</v>
      </c>
      <c r="D3" s="8" t="s">
        <v>25</v>
      </c>
      <c r="E3" s="8" t="s">
        <v>3</v>
      </c>
      <c r="F3" s="8" t="s">
        <v>55</v>
      </c>
      <c r="G3" s="8" t="s">
        <v>56</v>
      </c>
      <c r="H3" s="8" t="s">
        <v>27</v>
      </c>
      <c r="I3" s="8" t="s">
        <v>47</v>
      </c>
      <c r="J3" s="8" t="s">
        <v>28</v>
      </c>
      <c r="K3" s="8" t="s">
        <v>9</v>
      </c>
    </row>
    <row r="4" spans="1:11" ht="51" x14ac:dyDescent="0.25">
      <c r="A4" s="62">
        <v>1</v>
      </c>
      <c r="B4" s="62" t="s">
        <v>212</v>
      </c>
      <c r="C4" s="62" t="s">
        <v>213</v>
      </c>
      <c r="D4" s="62">
        <v>550</v>
      </c>
      <c r="E4" s="62" t="s">
        <v>13</v>
      </c>
      <c r="F4" s="65">
        <v>4500</v>
      </c>
      <c r="G4" s="65">
        <f>D4*F4</f>
        <v>2475000</v>
      </c>
      <c r="H4" s="62" t="s">
        <v>31</v>
      </c>
      <c r="I4" s="62" t="s">
        <v>524</v>
      </c>
      <c r="J4" s="62" t="s">
        <v>32</v>
      </c>
      <c r="K4" s="62" t="s">
        <v>525</v>
      </c>
    </row>
    <row r="5" spans="1:11" ht="38.25" x14ac:dyDescent="0.25">
      <c r="A5" s="62">
        <v>2</v>
      </c>
      <c r="B5" s="62" t="s">
        <v>214</v>
      </c>
      <c r="C5" s="62" t="s">
        <v>213</v>
      </c>
      <c r="D5" s="62">
        <v>250</v>
      </c>
      <c r="E5" s="62" t="s">
        <v>13</v>
      </c>
      <c r="F5" s="65">
        <v>1105</v>
      </c>
      <c r="G5" s="65">
        <f>D5*F5</f>
        <v>276250</v>
      </c>
      <c r="H5" s="62" t="s">
        <v>31</v>
      </c>
      <c r="I5" s="62" t="s">
        <v>524</v>
      </c>
      <c r="J5" s="62" t="s">
        <v>32</v>
      </c>
      <c r="K5" s="62" t="s">
        <v>525</v>
      </c>
    </row>
    <row r="6" spans="1:11" ht="38.25" x14ac:dyDescent="0.25">
      <c r="A6" s="62">
        <v>3</v>
      </c>
      <c r="B6" s="62" t="s">
        <v>215</v>
      </c>
      <c r="C6" s="62" t="s">
        <v>213</v>
      </c>
      <c r="D6" s="62">
        <v>100</v>
      </c>
      <c r="E6" s="62" t="s">
        <v>216</v>
      </c>
      <c r="F6" s="65">
        <v>760</v>
      </c>
      <c r="G6" s="65">
        <f t="shared" ref="G6:G67" si="0">D6*F6</f>
        <v>76000</v>
      </c>
      <c r="H6" s="62" t="s">
        <v>31</v>
      </c>
      <c r="I6" s="62" t="s">
        <v>524</v>
      </c>
      <c r="J6" s="62" t="s">
        <v>32</v>
      </c>
      <c r="K6" s="62" t="s">
        <v>525</v>
      </c>
    </row>
    <row r="7" spans="1:11" ht="38.25" x14ac:dyDescent="0.25">
      <c r="A7" s="62">
        <v>4</v>
      </c>
      <c r="B7" s="62" t="s">
        <v>217</v>
      </c>
      <c r="C7" s="62" t="s">
        <v>213</v>
      </c>
      <c r="D7" s="62">
        <v>200</v>
      </c>
      <c r="E7" s="62" t="s">
        <v>216</v>
      </c>
      <c r="F7" s="65">
        <v>1860</v>
      </c>
      <c r="G7" s="65">
        <f t="shared" si="0"/>
        <v>372000</v>
      </c>
      <c r="H7" s="62" t="s">
        <v>31</v>
      </c>
      <c r="I7" s="62" t="s">
        <v>524</v>
      </c>
      <c r="J7" s="62" t="s">
        <v>32</v>
      </c>
      <c r="K7" s="62" t="s">
        <v>525</v>
      </c>
    </row>
    <row r="8" spans="1:11" ht="38.25" x14ac:dyDescent="0.25">
      <c r="A8" s="62">
        <v>5</v>
      </c>
      <c r="B8" s="62" t="s">
        <v>218</v>
      </c>
      <c r="C8" s="62" t="s">
        <v>213</v>
      </c>
      <c r="D8" s="62">
        <v>800</v>
      </c>
      <c r="E8" s="62" t="s">
        <v>13</v>
      </c>
      <c r="F8" s="65">
        <v>760</v>
      </c>
      <c r="G8" s="65">
        <f t="shared" si="0"/>
        <v>608000</v>
      </c>
      <c r="H8" s="62" t="s">
        <v>31</v>
      </c>
      <c r="I8" s="62" t="s">
        <v>524</v>
      </c>
      <c r="J8" s="62" t="s">
        <v>32</v>
      </c>
      <c r="K8" s="62" t="s">
        <v>525</v>
      </c>
    </row>
    <row r="9" spans="1:11" ht="38.25" x14ac:dyDescent="0.25">
      <c r="A9" s="62">
        <v>6</v>
      </c>
      <c r="B9" s="62" t="s">
        <v>219</v>
      </c>
      <c r="C9" s="62" t="s">
        <v>213</v>
      </c>
      <c r="D9" s="62">
        <v>400</v>
      </c>
      <c r="E9" s="62" t="s">
        <v>13</v>
      </c>
      <c r="F9" s="65">
        <v>340</v>
      </c>
      <c r="G9" s="65">
        <f t="shared" si="0"/>
        <v>136000</v>
      </c>
      <c r="H9" s="62" t="s">
        <v>31</v>
      </c>
      <c r="I9" s="62" t="s">
        <v>524</v>
      </c>
      <c r="J9" s="62" t="s">
        <v>32</v>
      </c>
      <c r="K9" s="62" t="s">
        <v>525</v>
      </c>
    </row>
    <row r="10" spans="1:11" ht="38.25" x14ac:dyDescent="0.25">
      <c r="A10" s="62">
        <v>7</v>
      </c>
      <c r="B10" s="62" t="s">
        <v>220</v>
      </c>
      <c r="C10" s="62" t="s">
        <v>213</v>
      </c>
      <c r="D10" s="62">
        <v>800</v>
      </c>
      <c r="E10" s="62" t="s">
        <v>13</v>
      </c>
      <c r="F10" s="65">
        <v>7900</v>
      </c>
      <c r="G10" s="65">
        <f t="shared" si="0"/>
        <v>6320000</v>
      </c>
      <c r="H10" s="62" t="s">
        <v>31</v>
      </c>
      <c r="I10" s="62" t="s">
        <v>524</v>
      </c>
      <c r="J10" s="62" t="s">
        <v>32</v>
      </c>
      <c r="K10" s="62" t="s">
        <v>525</v>
      </c>
    </row>
    <row r="11" spans="1:11" ht="38.25" x14ac:dyDescent="0.25">
      <c r="A11" s="62">
        <v>8</v>
      </c>
      <c r="B11" s="62" t="s">
        <v>221</v>
      </c>
      <c r="C11" s="62" t="s">
        <v>213</v>
      </c>
      <c r="D11" s="62">
        <v>500</v>
      </c>
      <c r="E11" s="62" t="s">
        <v>13</v>
      </c>
      <c r="F11" s="65">
        <v>9800</v>
      </c>
      <c r="G11" s="65">
        <f t="shared" si="0"/>
        <v>4900000</v>
      </c>
      <c r="H11" s="62" t="s">
        <v>31</v>
      </c>
      <c r="I11" s="62" t="s">
        <v>524</v>
      </c>
      <c r="J11" s="62" t="s">
        <v>32</v>
      </c>
      <c r="K11" s="62" t="s">
        <v>525</v>
      </c>
    </row>
    <row r="12" spans="1:11" ht="89.25" x14ac:dyDescent="0.25">
      <c r="A12" s="62">
        <v>9</v>
      </c>
      <c r="B12" s="62" t="s">
        <v>222</v>
      </c>
      <c r="C12" s="62" t="s">
        <v>213</v>
      </c>
      <c r="D12" s="62">
        <v>600</v>
      </c>
      <c r="E12" s="62" t="s">
        <v>216</v>
      </c>
      <c r="F12" s="65">
        <v>15000</v>
      </c>
      <c r="G12" s="65">
        <f t="shared" si="0"/>
        <v>9000000</v>
      </c>
      <c r="H12" s="62" t="s">
        <v>31</v>
      </c>
      <c r="I12" s="62" t="s">
        <v>524</v>
      </c>
      <c r="J12" s="62" t="s">
        <v>32</v>
      </c>
      <c r="K12" s="62" t="s">
        <v>525</v>
      </c>
    </row>
    <row r="13" spans="1:11" ht="38.25" x14ac:dyDescent="0.25">
      <c r="A13" s="62">
        <v>10</v>
      </c>
      <c r="B13" s="62" t="s">
        <v>223</v>
      </c>
      <c r="C13" s="62" t="s">
        <v>213</v>
      </c>
      <c r="D13" s="62">
        <v>1000</v>
      </c>
      <c r="E13" s="62" t="s">
        <v>13</v>
      </c>
      <c r="F13" s="65">
        <v>70</v>
      </c>
      <c r="G13" s="65">
        <f t="shared" si="0"/>
        <v>70000</v>
      </c>
      <c r="H13" s="62" t="s">
        <v>31</v>
      </c>
      <c r="I13" s="62" t="s">
        <v>524</v>
      </c>
      <c r="J13" s="62" t="s">
        <v>32</v>
      </c>
      <c r="K13" s="62" t="s">
        <v>525</v>
      </c>
    </row>
    <row r="14" spans="1:11" ht="38.25" x14ac:dyDescent="0.25">
      <c r="A14" s="62">
        <v>11</v>
      </c>
      <c r="B14" s="62" t="s">
        <v>224</v>
      </c>
      <c r="C14" s="62" t="s">
        <v>213</v>
      </c>
      <c r="D14" s="62">
        <v>1000</v>
      </c>
      <c r="E14" s="62" t="s">
        <v>216</v>
      </c>
      <c r="F14" s="65">
        <v>81</v>
      </c>
      <c r="G14" s="65">
        <f t="shared" si="0"/>
        <v>81000</v>
      </c>
      <c r="H14" s="62" t="s">
        <v>31</v>
      </c>
      <c r="I14" s="62" t="s">
        <v>524</v>
      </c>
      <c r="J14" s="62" t="s">
        <v>32</v>
      </c>
      <c r="K14" s="62" t="s">
        <v>525</v>
      </c>
    </row>
    <row r="15" spans="1:11" ht="38.25" x14ac:dyDescent="0.25">
      <c r="A15" s="62">
        <v>12</v>
      </c>
      <c r="B15" s="62" t="s">
        <v>225</v>
      </c>
      <c r="C15" s="62" t="s">
        <v>213</v>
      </c>
      <c r="D15" s="62">
        <v>300</v>
      </c>
      <c r="E15" s="62" t="s">
        <v>216</v>
      </c>
      <c r="F15" s="65">
        <v>2650</v>
      </c>
      <c r="G15" s="65">
        <f t="shared" si="0"/>
        <v>795000</v>
      </c>
      <c r="H15" s="62" t="s">
        <v>31</v>
      </c>
      <c r="I15" s="62" t="s">
        <v>524</v>
      </c>
      <c r="J15" s="62" t="s">
        <v>32</v>
      </c>
      <c r="K15" s="62" t="s">
        <v>525</v>
      </c>
    </row>
    <row r="16" spans="1:11" ht="38.25" x14ac:dyDescent="0.25">
      <c r="A16" s="62">
        <v>13</v>
      </c>
      <c r="B16" s="62" t="s">
        <v>226</v>
      </c>
      <c r="C16" s="62" t="s">
        <v>213</v>
      </c>
      <c r="D16" s="62">
        <v>250</v>
      </c>
      <c r="E16" s="62" t="s">
        <v>13</v>
      </c>
      <c r="F16" s="65">
        <v>675</v>
      </c>
      <c r="G16" s="65">
        <f t="shared" si="0"/>
        <v>168750</v>
      </c>
      <c r="H16" s="62" t="s">
        <v>31</v>
      </c>
      <c r="I16" s="62" t="s">
        <v>524</v>
      </c>
      <c r="J16" s="62" t="s">
        <v>32</v>
      </c>
      <c r="K16" s="62" t="s">
        <v>525</v>
      </c>
    </row>
    <row r="17" spans="1:11" ht="38.25" x14ac:dyDescent="0.25">
      <c r="A17" s="62">
        <v>14</v>
      </c>
      <c r="B17" s="62" t="s">
        <v>227</v>
      </c>
      <c r="C17" s="62" t="s">
        <v>213</v>
      </c>
      <c r="D17" s="62">
        <v>300</v>
      </c>
      <c r="E17" s="62" t="s">
        <v>228</v>
      </c>
      <c r="F17" s="65">
        <v>380</v>
      </c>
      <c r="G17" s="65">
        <f t="shared" si="0"/>
        <v>114000</v>
      </c>
      <c r="H17" s="62" t="s">
        <v>31</v>
      </c>
      <c r="I17" s="62" t="s">
        <v>524</v>
      </c>
      <c r="J17" s="62" t="s">
        <v>32</v>
      </c>
      <c r="K17" s="62" t="s">
        <v>525</v>
      </c>
    </row>
    <row r="18" spans="1:11" ht="38.25" x14ac:dyDescent="0.25">
      <c r="A18" s="62">
        <v>15</v>
      </c>
      <c r="B18" s="62" t="s">
        <v>229</v>
      </c>
      <c r="C18" s="62" t="s">
        <v>213</v>
      </c>
      <c r="D18" s="62">
        <v>250</v>
      </c>
      <c r="E18" s="62" t="s">
        <v>13</v>
      </c>
      <c r="F18" s="65">
        <v>1325</v>
      </c>
      <c r="G18" s="65">
        <f t="shared" si="0"/>
        <v>331250</v>
      </c>
      <c r="H18" s="62" t="s">
        <v>31</v>
      </c>
      <c r="I18" s="62" t="s">
        <v>524</v>
      </c>
      <c r="J18" s="62" t="s">
        <v>32</v>
      </c>
      <c r="K18" s="62" t="s">
        <v>525</v>
      </c>
    </row>
    <row r="19" spans="1:11" ht="38.25" x14ac:dyDescent="0.25">
      <c r="A19" s="62">
        <v>16</v>
      </c>
      <c r="B19" s="62" t="s">
        <v>230</v>
      </c>
      <c r="C19" s="62" t="s">
        <v>213</v>
      </c>
      <c r="D19" s="62">
        <v>800</v>
      </c>
      <c r="E19" s="62" t="s">
        <v>216</v>
      </c>
      <c r="F19" s="65">
        <v>3365</v>
      </c>
      <c r="G19" s="65">
        <f t="shared" si="0"/>
        <v>2692000</v>
      </c>
      <c r="H19" s="62" t="s">
        <v>31</v>
      </c>
      <c r="I19" s="62" t="s">
        <v>524</v>
      </c>
      <c r="J19" s="62" t="s">
        <v>32</v>
      </c>
      <c r="K19" s="62" t="s">
        <v>525</v>
      </c>
    </row>
    <row r="20" spans="1:11" ht="38.25" x14ac:dyDescent="0.25">
      <c r="A20" s="62">
        <v>17</v>
      </c>
      <c r="B20" s="62" t="s">
        <v>231</v>
      </c>
      <c r="C20" s="62" t="s">
        <v>213</v>
      </c>
      <c r="D20" s="62">
        <v>500</v>
      </c>
      <c r="E20" s="62" t="s">
        <v>216</v>
      </c>
      <c r="F20" s="65">
        <v>760</v>
      </c>
      <c r="G20" s="65">
        <f t="shared" si="0"/>
        <v>380000</v>
      </c>
      <c r="H20" s="62" t="s">
        <v>31</v>
      </c>
      <c r="I20" s="62" t="s">
        <v>524</v>
      </c>
      <c r="J20" s="62" t="s">
        <v>32</v>
      </c>
      <c r="K20" s="62" t="s">
        <v>525</v>
      </c>
    </row>
    <row r="21" spans="1:11" ht="38.25" x14ac:dyDescent="0.25">
      <c r="A21" s="62">
        <v>18</v>
      </c>
      <c r="B21" s="62" t="s">
        <v>232</v>
      </c>
      <c r="C21" s="62" t="s">
        <v>213</v>
      </c>
      <c r="D21" s="62">
        <v>410</v>
      </c>
      <c r="E21" s="62" t="s">
        <v>233</v>
      </c>
      <c r="F21" s="65">
        <v>2020</v>
      </c>
      <c r="G21" s="65">
        <f t="shared" si="0"/>
        <v>828200</v>
      </c>
      <c r="H21" s="62" t="s">
        <v>31</v>
      </c>
      <c r="I21" s="62" t="s">
        <v>524</v>
      </c>
      <c r="J21" s="62" t="s">
        <v>32</v>
      </c>
      <c r="K21" s="62" t="s">
        <v>525</v>
      </c>
    </row>
    <row r="22" spans="1:11" ht="38.25" x14ac:dyDescent="0.25">
      <c r="A22" s="62">
        <v>19</v>
      </c>
      <c r="B22" s="62" t="s">
        <v>234</v>
      </c>
      <c r="C22" s="62" t="s">
        <v>213</v>
      </c>
      <c r="D22" s="62">
        <v>600</v>
      </c>
      <c r="E22" s="62" t="s">
        <v>233</v>
      </c>
      <c r="F22" s="65">
        <v>675</v>
      </c>
      <c r="G22" s="65">
        <f t="shared" si="0"/>
        <v>405000</v>
      </c>
      <c r="H22" s="62" t="s">
        <v>31</v>
      </c>
      <c r="I22" s="62" t="s">
        <v>524</v>
      </c>
      <c r="J22" s="62" t="s">
        <v>32</v>
      </c>
      <c r="K22" s="62" t="s">
        <v>525</v>
      </c>
    </row>
    <row r="23" spans="1:11" ht="38.25" x14ac:dyDescent="0.25">
      <c r="A23" s="62">
        <v>20</v>
      </c>
      <c r="B23" s="62" t="s">
        <v>235</v>
      </c>
      <c r="C23" s="62" t="s">
        <v>213</v>
      </c>
      <c r="D23" s="62">
        <v>500</v>
      </c>
      <c r="E23" s="62" t="s">
        <v>13</v>
      </c>
      <c r="F23" s="65">
        <v>675</v>
      </c>
      <c r="G23" s="65">
        <f t="shared" si="0"/>
        <v>337500</v>
      </c>
      <c r="H23" s="62" t="s">
        <v>31</v>
      </c>
      <c r="I23" s="62" t="s">
        <v>524</v>
      </c>
      <c r="J23" s="62" t="s">
        <v>32</v>
      </c>
      <c r="K23" s="62" t="s">
        <v>525</v>
      </c>
    </row>
    <row r="24" spans="1:11" ht="38.25" x14ac:dyDescent="0.25">
      <c r="A24" s="62">
        <v>21</v>
      </c>
      <c r="B24" s="62" t="s">
        <v>236</v>
      </c>
      <c r="C24" s="62" t="s">
        <v>213</v>
      </c>
      <c r="D24" s="62">
        <v>100</v>
      </c>
      <c r="E24" s="62" t="s">
        <v>13</v>
      </c>
      <c r="F24" s="65">
        <v>630</v>
      </c>
      <c r="G24" s="65">
        <f t="shared" si="0"/>
        <v>63000</v>
      </c>
      <c r="H24" s="62" t="s">
        <v>31</v>
      </c>
      <c r="I24" s="62" t="s">
        <v>524</v>
      </c>
      <c r="J24" s="62" t="s">
        <v>32</v>
      </c>
      <c r="K24" s="62" t="s">
        <v>525</v>
      </c>
    </row>
    <row r="25" spans="1:11" ht="38.25" x14ac:dyDescent="0.25">
      <c r="A25" s="62">
        <v>22</v>
      </c>
      <c r="B25" s="62" t="s">
        <v>237</v>
      </c>
      <c r="C25" s="62" t="s">
        <v>213</v>
      </c>
      <c r="D25" s="62">
        <v>100</v>
      </c>
      <c r="E25" s="62" t="s">
        <v>13</v>
      </c>
      <c r="F25" s="65">
        <v>41000</v>
      </c>
      <c r="G25" s="65">
        <f t="shared" si="0"/>
        <v>4100000</v>
      </c>
      <c r="H25" s="62" t="s">
        <v>31</v>
      </c>
      <c r="I25" s="62" t="s">
        <v>524</v>
      </c>
      <c r="J25" s="62" t="s">
        <v>32</v>
      </c>
      <c r="K25" s="62"/>
    </row>
    <row r="26" spans="1:11" ht="38.25" x14ac:dyDescent="0.25">
      <c r="A26" s="62">
        <v>23</v>
      </c>
      <c r="B26" s="62" t="s">
        <v>238</v>
      </c>
      <c r="C26" s="62" t="s">
        <v>213</v>
      </c>
      <c r="D26" s="62">
        <v>2000</v>
      </c>
      <c r="E26" s="62" t="s">
        <v>13</v>
      </c>
      <c r="F26" s="65">
        <v>169</v>
      </c>
      <c r="G26" s="65">
        <f t="shared" si="0"/>
        <v>338000</v>
      </c>
      <c r="H26" s="62" t="s">
        <v>31</v>
      </c>
      <c r="I26" s="62" t="s">
        <v>524</v>
      </c>
      <c r="J26" s="62" t="s">
        <v>32</v>
      </c>
      <c r="K26" s="62" t="s">
        <v>239</v>
      </c>
    </row>
    <row r="27" spans="1:11" ht="38.25" x14ac:dyDescent="0.25">
      <c r="A27" s="62">
        <v>24</v>
      </c>
      <c r="B27" s="62" t="s">
        <v>240</v>
      </c>
      <c r="C27" s="62" t="s">
        <v>213</v>
      </c>
      <c r="D27" s="62">
        <v>60</v>
      </c>
      <c r="E27" s="62" t="s">
        <v>13</v>
      </c>
      <c r="F27" s="65">
        <v>305</v>
      </c>
      <c r="G27" s="65">
        <f t="shared" si="0"/>
        <v>18300</v>
      </c>
      <c r="H27" s="62" t="s">
        <v>31</v>
      </c>
      <c r="I27" s="62" t="s">
        <v>524</v>
      </c>
      <c r="J27" s="62" t="s">
        <v>32</v>
      </c>
      <c r="K27" s="62" t="s">
        <v>241</v>
      </c>
    </row>
    <row r="28" spans="1:11" ht="51" x14ac:dyDescent="0.25">
      <c r="A28" s="62">
        <v>25</v>
      </c>
      <c r="B28" s="62" t="s">
        <v>242</v>
      </c>
      <c r="C28" s="62" t="s">
        <v>213</v>
      </c>
      <c r="D28" s="62">
        <v>50</v>
      </c>
      <c r="E28" s="62" t="s">
        <v>243</v>
      </c>
      <c r="F28" s="65">
        <v>465</v>
      </c>
      <c r="G28" s="65">
        <f t="shared" si="0"/>
        <v>23250</v>
      </c>
      <c r="H28" s="62" t="s">
        <v>31</v>
      </c>
      <c r="I28" s="62" t="s">
        <v>524</v>
      </c>
      <c r="J28" s="62" t="s">
        <v>32</v>
      </c>
      <c r="K28" s="62" t="s">
        <v>243</v>
      </c>
    </row>
    <row r="29" spans="1:11" ht="38.25" x14ac:dyDescent="0.25">
      <c r="A29" s="62">
        <v>26</v>
      </c>
      <c r="B29" s="62" t="s">
        <v>244</v>
      </c>
      <c r="C29" s="62" t="s">
        <v>213</v>
      </c>
      <c r="D29" s="62">
        <v>50</v>
      </c>
      <c r="E29" s="62" t="s">
        <v>216</v>
      </c>
      <c r="F29" s="65">
        <v>150</v>
      </c>
      <c r="G29" s="65">
        <f t="shared" si="0"/>
        <v>7500</v>
      </c>
      <c r="H29" s="62" t="s">
        <v>31</v>
      </c>
      <c r="I29" s="62" t="s">
        <v>524</v>
      </c>
      <c r="J29" s="62" t="s">
        <v>32</v>
      </c>
      <c r="K29" s="62" t="s">
        <v>216</v>
      </c>
    </row>
    <row r="30" spans="1:11" ht="38.25" x14ac:dyDescent="0.25">
      <c r="A30" s="62">
        <v>27</v>
      </c>
      <c r="B30" s="62" t="s">
        <v>245</v>
      </c>
      <c r="C30" s="62" t="s">
        <v>213</v>
      </c>
      <c r="D30" s="62">
        <v>300</v>
      </c>
      <c r="E30" s="62" t="s">
        <v>246</v>
      </c>
      <c r="F30" s="65">
        <v>675</v>
      </c>
      <c r="G30" s="65">
        <f t="shared" si="0"/>
        <v>202500</v>
      </c>
      <c r="H30" s="62" t="s">
        <v>31</v>
      </c>
      <c r="I30" s="62" t="s">
        <v>524</v>
      </c>
      <c r="J30" s="62" t="s">
        <v>32</v>
      </c>
      <c r="K30" s="62" t="s">
        <v>247</v>
      </c>
    </row>
    <row r="31" spans="1:11" ht="38.25" x14ac:dyDescent="0.25">
      <c r="A31" s="62">
        <v>28</v>
      </c>
      <c r="B31" s="62" t="s">
        <v>248</v>
      </c>
      <c r="C31" s="62" t="s">
        <v>213</v>
      </c>
      <c r="D31" s="62">
        <v>70</v>
      </c>
      <c r="E31" s="62" t="s">
        <v>249</v>
      </c>
      <c r="F31" s="65">
        <v>15000</v>
      </c>
      <c r="G31" s="65">
        <f t="shared" si="0"/>
        <v>1050000</v>
      </c>
      <c r="H31" s="62" t="s">
        <v>31</v>
      </c>
      <c r="I31" s="62" t="s">
        <v>524</v>
      </c>
      <c r="J31" s="62" t="s">
        <v>32</v>
      </c>
      <c r="K31" s="62" t="s">
        <v>243</v>
      </c>
    </row>
    <row r="32" spans="1:11" ht="38.25" x14ac:dyDescent="0.25">
      <c r="A32" s="62">
        <v>29</v>
      </c>
      <c r="B32" s="62" t="s">
        <v>250</v>
      </c>
      <c r="C32" s="62" t="s">
        <v>213</v>
      </c>
      <c r="D32" s="62">
        <v>70</v>
      </c>
      <c r="E32" s="62" t="s">
        <v>13</v>
      </c>
      <c r="F32" s="65">
        <v>2650</v>
      </c>
      <c r="G32" s="65">
        <f t="shared" si="0"/>
        <v>185500</v>
      </c>
      <c r="H32" s="62" t="s">
        <v>31</v>
      </c>
      <c r="I32" s="62" t="s">
        <v>524</v>
      </c>
      <c r="J32" s="62" t="s">
        <v>32</v>
      </c>
      <c r="K32" s="62" t="s">
        <v>251</v>
      </c>
    </row>
    <row r="33" spans="1:11" ht="51" x14ac:dyDescent="0.25">
      <c r="A33" s="62">
        <v>30</v>
      </c>
      <c r="B33" s="62" t="s">
        <v>252</v>
      </c>
      <c r="C33" s="62" t="s">
        <v>213</v>
      </c>
      <c r="D33" s="62">
        <v>200</v>
      </c>
      <c r="E33" s="62" t="s">
        <v>13</v>
      </c>
      <c r="F33" s="65">
        <v>3615</v>
      </c>
      <c r="G33" s="65">
        <f t="shared" si="0"/>
        <v>723000</v>
      </c>
      <c r="H33" s="62" t="s">
        <v>31</v>
      </c>
      <c r="I33" s="62" t="s">
        <v>524</v>
      </c>
      <c r="J33" s="62" t="s">
        <v>32</v>
      </c>
      <c r="K33" s="62" t="s">
        <v>253</v>
      </c>
    </row>
    <row r="34" spans="1:11" ht="51" x14ac:dyDescent="0.25">
      <c r="A34" s="62">
        <v>31</v>
      </c>
      <c r="B34" s="62" t="s">
        <v>254</v>
      </c>
      <c r="C34" s="62" t="s">
        <v>213</v>
      </c>
      <c r="D34" s="62">
        <v>150</v>
      </c>
      <c r="E34" s="62" t="s">
        <v>13</v>
      </c>
      <c r="F34" s="65">
        <v>1515</v>
      </c>
      <c r="G34" s="65">
        <f t="shared" si="0"/>
        <v>227250</v>
      </c>
      <c r="H34" s="62" t="s">
        <v>31</v>
      </c>
      <c r="I34" s="62" t="s">
        <v>524</v>
      </c>
      <c r="J34" s="62" t="s">
        <v>32</v>
      </c>
      <c r="K34" s="62" t="s">
        <v>253</v>
      </c>
    </row>
    <row r="35" spans="1:11" ht="38.25" x14ac:dyDescent="0.25">
      <c r="A35" s="62">
        <v>32</v>
      </c>
      <c r="B35" s="62" t="s">
        <v>255</v>
      </c>
      <c r="C35" s="62" t="s">
        <v>213</v>
      </c>
      <c r="D35" s="62">
        <v>20</v>
      </c>
      <c r="E35" s="62" t="s">
        <v>256</v>
      </c>
      <c r="F35" s="65">
        <v>38500</v>
      </c>
      <c r="G35" s="65">
        <f t="shared" si="0"/>
        <v>770000</v>
      </c>
      <c r="H35" s="62" t="s">
        <v>31</v>
      </c>
      <c r="I35" s="62" t="s">
        <v>524</v>
      </c>
      <c r="J35" s="62" t="s">
        <v>32</v>
      </c>
      <c r="K35" s="62" t="s">
        <v>257</v>
      </c>
    </row>
    <row r="36" spans="1:11" ht="38.25" x14ac:dyDescent="0.25">
      <c r="A36" s="62">
        <v>33</v>
      </c>
      <c r="B36" s="62" t="s">
        <v>258</v>
      </c>
      <c r="C36" s="62" t="s">
        <v>213</v>
      </c>
      <c r="D36" s="62">
        <v>100</v>
      </c>
      <c r="E36" s="62" t="s">
        <v>13</v>
      </c>
      <c r="F36" s="65">
        <v>2750</v>
      </c>
      <c r="G36" s="65">
        <f t="shared" si="0"/>
        <v>275000</v>
      </c>
      <c r="H36" s="62" t="s">
        <v>31</v>
      </c>
      <c r="I36" s="62" t="s">
        <v>524</v>
      </c>
      <c r="J36" s="62" t="s">
        <v>32</v>
      </c>
      <c r="K36" s="62" t="s">
        <v>259</v>
      </c>
    </row>
    <row r="37" spans="1:11" ht="38.25" x14ac:dyDescent="0.25">
      <c r="A37" s="62">
        <v>34</v>
      </c>
      <c r="B37" s="62" t="s">
        <v>260</v>
      </c>
      <c r="C37" s="62" t="s">
        <v>213</v>
      </c>
      <c r="D37" s="62">
        <v>40</v>
      </c>
      <c r="E37" s="62" t="s">
        <v>13</v>
      </c>
      <c r="F37" s="65">
        <v>6219</v>
      </c>
      <c r="G37" s="65">
        <f t="shared" si="0"/>
        <v>248760</v>
      </c>
      <c r="H37" s="62" t="s">
        <v>31</v>
      </c>
      <c r="I37" s="62" t="s">
        <v>524</v>
      </c>
      <c r="J37" s="62" t="s">
        <v>32</v>
      </c>
      <c r="K37" s="62" t="s">
        <v>261</v>
      </c>
    </row>
    <row r="38" spans="1:11" ht="38.25" x14ac:dyDescent="0.25">
      <c r="A38" s="62">
        <v>35</v>
      </c>
      <c r="B38" s="62" t="s">
        <v>262</v>
      </c>
      <c r="C38" s="62" t="s">
        <v>213</v>
      </c>
      <c r="D38" s="62">
        <v>100</v>
      </c>
      <c r="E38" s="62" t="s">
        <v>13</v>
      </c>
      <c r="F38" s="65">
        <v>5969</v>
      </c>
      <c r="G38" s="65">
        <f t="shared" si="0"/>
        <v>596900</v>
      </c>
      <c r="H38" s="62" t="s">
        <v>31</v>
      </c>
      <c r="I38" s="62" t="s">
        <v>524</v>
      </c>
      <c r="J38" s="62" t="s">
        <v>32</v>
      </c>
      <c r="K38" s="62" t="s">
        <v>263</v>
      </c>
    </row>
    <row r="39" spans="1:11" ht="38.25" x14ac:dyDescent="0.25">
      <c r="A39" s="62">
        <v>36</v>
      </c>
      <c r="B39" s="62" t="s">
        <v>264</v>
      </c>
      <c r="C39" s="62" t="s">
        <v>213</v>
      </c>
      <c r="D39" s="62">
        <v>100</v>
      </c>
      <c r="E39" s="62" t="s">
        <v>13</v>
      </c>
      <c r="F39" s="65">
        <v>1980</v>
      </c>
      <c r="G39" s="65">
        <f t="shared" si="0"/>
        <v>198000</v>
      </c>
      <c r="H39" s="62" t="s">
        <v>31</v>
      </c>
      <c r="I39" s="62" t="s">
        <v>524</v>
      </c>
      <c r="J39" s="62" t="s">
        <v>32</v>
      </c>
      <c r="K39" s="62" t="s">
        <v>265</v>
      </c>
    </row>
    <row r="40" spans="1:11" ht="38.25" x14ac:dyDescent="0.25">
      <c r="A40" s="62">
        <v>37</v>
      </c>
      <c r="B40" s="62" t="s">
        <v>266</v>
      </c>
      <c r="C40" s="62" t="s">
        <v>213</v>
      </c>
      <c r="D40" s="62">
        <v>100</v>
      </c>
      <c r="E40" s="62" t="s">
        <v>13</v>
      </c>
      <c r="F40" s="65">
        <v>1500</v>
      </c>
      <c r="G40" s="65">
        <f t="shared" si="0"/>
        <v>150000</v>
      </c>
      <c r="H40" s="62" t="s">
        <v>31</v>
      </c>
      <c r="I40" s="62" t="s">
        <v>524</v>
      </c>
      <c r="J40" s="62" t="s">
        <v>32</v>
      </c>
      <c r="K40" s="62" t="s">
        <v>267</v>
      </c>
    </row>
    <row r="41" spans="1:11" ht="38.25" x14ac:dyDescent="0.25">
      <c r="A41" s="62">
        <v>38</v>
      </c>
      <c r="B41" s="62" t="s">
        <v>268</v>
      </c>
      <c r="C41" s="62" t="s">
        <v>213</v>
      </c>
      <c r="D41" s="62">
        <v>15</v>
      </c>
      <c r="E41" s="62" t="s">
        <v>13</v>
      </c>
      <c r="F41" s="65">
        <v>1500</v>
      </c>
      <c r="G41" s="65">
        <f t="shared" si="0"/>
        <v>22500</v>
      </c>
      <c r="H41" s="62" t="s">
        <v>31</v>
      </c>
      <c r="I41" s="62" t="s">
        <v>524</v>
      </c>
      <c r="J41" s="62" t="s">
        <v>32</v>
      </c>
      <c r="K41" s="62" t="s">
        <v>269</v>
      </c>
    </row>
    <row r="42" spans="1:11" ht="38.25" x14ac:dyDescent="0.25">
      <c r="A42" s="62">
        <v>39</v>
      </c>
      <c r="B42" s="62" t="s">
        <v>270</v>
      </c>
      <c r="C42" s="62" t="s">
        <v>213</v>
      </c>
      <c r="D42" s="62">
        <v>50</v>
      </c>
      <c r="E42" s="62" t="s">
        <v>13</v>
      </c>
      <c r="F42" s="65">
        <v>3400</v>
      </c>
      <c r="G42" s="65">
        <f t="shared" si="0"/>
        <v>170000</v>
      </c>
      <c r="H42" s="62" t="s">
        <v>31</v>
      </c>
      <c r="I42" s="62" t="s">
        <v>524</v>
      </c>
      <c r="J42" s="62" t="s">
        <v>32</v>
      </c>
      <c r="K42" s="62" t="s">
        <v>271</v>
      </c>
    </row>
    <row r="43" spans="1:11" ht="38.25" x14ac:dyDescent="0.25">
      <c r="A43" s="62">
        <v>40</v>
      </c>
      <c r="B43" s="62" t="s">
        <v>272</v>
      </c>
      <c r="C43" s="62" t="s">
        <v>213</v>
      </c>
      <c r="D43" s="62">
        <v>100</v>
      </c>
      <c r="E43" s="62" t="s">
        <v>13</v>
      </c>
      <c r="F43" s="65">
        <v>188</v>
      </c>
      <c r="G43" s="65">
        <f t="shared" si="0"/>
        <v>18800</v>
      </c>
      <c r="H43" s="62" t="s">
        <v>31</v>
      </c>
      <c r="I43" s="62" t="s">
        <v>524</v>
      </c>
      <c r="J43" s="62" t="s">
        <v>32</v>
      </c>
      <c r="K43" s="62" t="s">
        <v>273</v>
      </c>
    </row>
    <row r="44" spans="1:11" ht="38.25" x14ac:dyDescent="0.25">
      <c r="A44" s="62">
        <v>41</v>
      </c>
      <c r="B44" s="62" t="s">
        <v>274</v>
      </c>
      <c r="C44" s="62" t="s">
        <v>213</v>
      </c>
      <c r="D44" s="62">
        <v>400</v>
      </c>
      <c r="E44" s="62" t="s">
        <v>13</v>
      </c>
      <c r="F44" s="65">
        <v>800</v>
      </c>
      <c r="G44" s="65">
        <f t="shared" si="0"/>
        <v>320000</v>
      </c>
      <c r="H44" s="62" t="s">
        <v>31</v>
      </c>
      <c r="I44" s="62" t="s">
        <v>524</v>
      </c>
      <c r="J44" s="62" t="s">
        <v>32</v>
      </c>
      <c r="K44" s="62" t="s">
        <v>275</v>
      </c>
    </row>
    <row r="45" spans="1:11" ht="38.25" x14ac:dyDescent="0.25">
      <c r="A45" s="62">
        <v>42</v>
      </c>
      <c r="B45" s="62" t="s">
        <v>276</v>
      </c>
      <c r="C45" s="62" t="s">
        <v>213</v>
      </c>
      <c r="D45" s="62">
        <v>15</v>
      </c>
      <c r="E45" s="62" t="s">
        <v>13</v>
      </c>
      <c r="F45" s="65">
        <v>1092</v>
      </c>
      <c r="G45" s="65">
        <f t="shared" si="0"/>
        <v>16380</v>
      </c>
      <c r="H45" s="62" t="s">
        <v>31</v>
      </c>
      <c r="I45" s="62" t="s">
        <v>524</v>
      </c>
      <c r="J45" s="62" t="s">
        <v>32</v>
      </c>
      <c r="K45" s="62" t="s">
        <v>277</v>
      </c>
    </row>
    <row r="46" spans="1:11" ht="38.25" x14ac:dyDescent="0.25">
      <c r="A46" s="62">
        <v>44</v>
      </c>
      <c r="B46" s="62" t="s">
        <v>278</v>
      </c>
      <c r="C46" s="62" t="s">
        <v>213</v>
      </c>
      <c r="D46" s="62">
        <v>300</v>
      </c>
      <c r="E46" s="62" t="s">
        <v>13</v>
      </c>
      <c r="F46" s="65">
        <v>420</v>
      </c>
      <c r="G46" s="65">
        <f t="shared" si="0"/>
        <v>126000</v>
      </c>
      <c r="H46" s="62" t="s">
        <v>31</v>
      </c>
      <c r="I46" s="62" t="s">
        <v>524</v>
      </c>
      <c r="J46" s="62" t="s">
        <v>32</v>
      </c>
      <c r="K46" s="62" t="s">
        <v>279</v>
      </c>
    </row>
    <row r="47" spans="1:11" ht="51" x14ac:dyDescent="0.25">
      <c r="A47" s="62">
        <v>45</v>
      </c>
      <c r="B47" s="62" t="s">
        <v>280</v>
      </c>
      <c r="C47" s="62" t="s">
        <v>213</v>
      </c>
      <c r="D47" s="62">
        <v>500</v>
      </c>
      <c r="E47" s="62" t="s">
        <v>13</v>
      </c>
      <c r="F47" s="65">
        <v>1310</v>
      </c>
      <c r="G47" s="65">
        <f t="shared" si="0"/>
        <v>655000</v>
      </c>
      <c r="H47" s="62" t="s">
        <v>31</v>
      </c>
      <c r="I47" s="62" t="s">
        <v>524</v>
      </c>
      <c r="J47" s="62" t="s">
        <v>32</v>
      </c>
      <c r="K47" s="62" t="s">
        <v>281</v>
      </c>
    </row>
    <row r="48" spans="1:11" ht="38.25" x14ac:dyDescent="0.25">
      <c r="A48" s="62">
        <v>46</v>
      </c>
      <c r="B48" s="62" t="s">
        <v>282</v>
      </c>
      <c r="C48" s="62" t="s">
        <v>213</v>
      </c>
      <c r="D48" s="62">
        <v>800</v>
      </c>
      <c r="E48" s="62" t="s">
        <v>13</v>
      </c>
      <c r="F48" s="65">
        <v>420</v>
      </c>
      <c r="G48" s="65">
        <f t="shared" si="0"/>
        <v>336000</v>
      </c>
      <c r="H48" s="62" t="s">
        <v>31</v>
      </c>
      <c r="I48" s="62" t="s">
        <v>524</v>
      </c>
      <c r="J48" s="62" t="s">
        <v>32</v>
      </c>
      <c r="K48" s="62" t="s">
        <v>283</v>
      </c>
    </row>
    <row r="49" spans="1:11" ht="38.25" x14ac:dyDescent="0.25">
      <c r="A49" s="62">
        <v>47</v>
      </c>
      <c r="B49" s="62" t="s">
        <v>284</v>
      </c>
      <c r="C49" s="62" t="s">
        <v>213</v>
      </c>
      <c r="D49" s="62">
        <v>200</v>
      </c>
      <c r="E49" s="62" t="s">
        <v>13</v>
      </c>
      <c r="F49" s="65">
        <v>800</v>
      </c>
      <c r="G49" s="65">
        <f t="shared" si="0"/>
        <v>160000</v>
      </c>
      <c r="H49" s="62" t="s">
        <v>31</v>
      </c>
      <c r="I49" s="62" t="s">
        <v>524</v>
      </c>
      <c r="J49" s="62" t="s">
        <v>32</v>
      </c>
      <c r="K49" s="62" t="s">
        <v>285</v>
      </c>
    </row>
    <row r="50" spans="1:11" ht="38.25" x14ac:dyDescent="0.25">
      <c r="A50" s="62">
        <v>48</v>
      </c>
      <c r="B50" s="62" t="s">
        <v>286</v>
      </c>
      <c r="C50" s="62" t="s">
        <v>213</v>
      </c>
      <c r="D50" s="62">
        <v>15</v>
      </c>
      <c r="E50" s="62" t="s">
        <v>13</v>
      </c>
      <c r="F50" s="65">
        <v>2000</v>
      </c>
      <c r="G50" s="65">
        <f t="shared" si="0"/>
        <v>30000</v>
      </c>
      <c r="H50" s="62" t="s">
        <v>31</v>
      </c>
      <c r="I50" s="62" t="s">
        <v>524</v>
      </c>
      <c r="J50" s="62" t="s">
        <v>32</v>
      </c>
      <c r="K50" s="62" t="s">
        <v>287</v>
      </c>
    </row>
    <row r="51" spans="1:11" ht="38.25" x14ac:dyDescent="0.25">
      <c r="A51" s="62">
        <v>49</v>
      </c>
      <c r="B51" s="62" t="s">
        <v>288</v>
      </c>
      <c r="C51" s="62" t="s">
        <v>213</v>
      </c>
      <c r="D51" s="62">
        <v>15</v>
      </c>
      <c r="E51" s="62" t="s">
        <v>13</v>
      </c>
      <c r="F51" s="65">
        <v>35000</v>
      </c>
      <c r="G51" s="65">
        <f t="shared" si="0"/>
        <v>525000</v>
      </c>
      <c r="H51" s="62" t="s">
        <v>31</v>
      </c>
      <c r="I51" s="62" t="s">
        <v>524</v>
      </c>
      <c r="J51" s="62" t="s">
        <v>32</v>
      </c>
      <c r="K51" s="62" t="s">
        <v>289</v>
      </c>
    </row>
    <row r="52" spans="1:11" ht="38.25" x14ac:dyDescent="0.25">
      <c r="A52" s="62">
        <v>50</v>
      </c>
      <c r="B52" s="62" t="s">
        <v>290</v>
      </c>
      <c r="C52" s="62" t="s">
        <v>213</v>
      </c>
      <c r="D52" s="62">
        <v>15</v>
      </c>
      <c r="E52" s="62" t="s">
        <v>13</v>
      </c>
      <c r="F52" s="65">
        <v>52101</v>
      </c>
      <c r="G52" s="65">
        <f t="shared" si="0"/>
        <v>781515</v>
      </c>
      <c r="H52" s="62" t="s">
        <v>31</v>
      </c>
      <c r="I52" s="62" t="s">
        <v>524</v>
      </c>
      <c r="J52" s="62" t="s">
        <v>32</v>
      </c>
      <c r="K52" s="62" t="s">
        <v>291</v>
      </c>
    </row>
    <row r="53" spans="1:11" ht="38.25" x14ac:dyDescent="0.25">
      <c r="A53" s="62">
        <v>51</v>
      </c>
      <c r="B53" s="62" t="s">
        <v>292</v>
      </c>
      <c r="C53" s="62" t="s">
        <v>213</v>
      </c>
      <c r="D53" s="62">
        <v>15</v>
      </c>
      <c r="E53" s="62" t="s">
        <v>13</v>
      </c>
      <c r="F53" s="65">
        <v>2647</v>
      </c>
      <c r="G53" s="65">
        <f t="shared" si="0"/>
        <v>39705</v>
      </c>
      <c r="H53" s="62" t="s">
        <v>31</v>
      </c>
      <c r="I53" s="62" t="s">
        <v>524</v>
      </c>
      <c r="J53" s="62" t="s">
        <v>32</v>
      </c>
      <c r="K53" s="62" t="s">
        <v>293</v>
      </c>
    </row>
    <row r="54" spans="1:11" ht="76.5" x14ac:dyDescent="0.25">
      <c r="A54" s="62">
        <v>52</v>
      </c>
      <c r="B54" s="62" t="s">
        <v>294</v>
      </c>
      <c r="C54" s="62" t="s">
        <v>213</v>
      </c>
      <c r="D54" s="62">
        <v>2</v>
      </c>
      <c r="E54" s="62" t="s">
        <v>13</v>
      </c>
      <c r="F54" s="65">
        <v>2200000</v>
      </c>
      <c r="G54" s="65">
        <f t="shared" si="0"/>
        <v>4400000</v>
      </c>
      <c r="H54" s="62" t="s">
        <v>31</v>
      </c>
      <c r="I54" s="62" t="s">
        <v>524</v>
      </c>
      <c r="J54" s="62" t="s">
        <v>32</v>
      </c>
      <c r="K54" s="62" t="s">
        <v>295</v>
      </c>
    </row>
    <row r="55" spans="1:11" ht="38.25" x14ac:dyDescent="0.25">
      <c r="A55" s="62">
        <v>53</v>
      </c>
      <c r="B55" s="62" t="s">
        <v>296</v>
      </c>
      <c r="C55" s="62" t="s">
        <v>213</v>
      </c>
      <c r="D55" s="62">
        <v>60</v>
      </c>
      <c r="E55" s="62" t="s">
        <v>13</v>
      </c>
      <c r="F55" s="65">
        <v>2535</v>
      </c>
      <c r="G55" s="65">
        <f t="shared" si="0"/>
        <v>152100</v>
      </c>
      <c r="H55" s="62" t="s">
        <v>31</v>
      </c>
      <c r="I55" s="62" t="s">
        <v>524</v>
      </c>
      <c r="J55" s="62" t="s">
        <v>32</v>
      </c>
      <c r="K55" s="62" t="s">
        <v>297</v>
      </c>
    </row>
    <row r="56" spans="1:11" ht="38.25" x14ac:dyDescent="0.25">
      <c r="A56" s="62">
        <v>54</v>
      </c>
      <c r="B56" s="62" t="s">
        <v>298</v>
      </c>
      <c r="C56" s="62" t="s">
        <v>213</v>
      </c>
      <c r="D56" s="62">
        <v>50</v>
      </c>
      <c r="E56" s="62" t="s">
        <v>13</v>
      </c>
      <c r="F56" s="65">
        <v>8992</v>
      </c>
      <c r="G56" s="65">
        <f t="shared" si="0"/>
        <v>449600</v>
      </c>
      <c r="H56" s="62" t="s">
        <v>31</v>
      </c>
      <c r="I56" s="62" t="s">
        <v>524</v>
      </c>
      <c r="J56" s="62" t="s">
        <v>32</v>
      </c>
      <c r="K56" s="62" t="s">
        <v>299</v>
      </c>
    </row>
    <row r="57" spans="1:11" ht="38.25" x14ac:dyDescent="0.25">
      <c r="A57" s="62">
        <v>55</v>
      </c>
      <c r="B57" s="62" t="s">
        <v>300</v>
      </c>
      <c r="C57" s="62" t="s">
        <v>213</v>
      </c>
      <c r="D57" s="62">
        <v>70</v>
      </c>
      <c r="E57" s="62" t="s">
        <v>13</v>
      </c>
      <c r="F57" s="65">
        <v>2270</v>
      </c>
      <c r="G57" s="65">
        <f t="shared" si="0"/>
        <v>158900</v>
      </c>
      <c r="H57" s="62" t="s">
        <v>31</v>
      </c>
      <c r="I57" s="62" t="s">
        <v>524</v>
      </c>
      <c r="J57" s="62" t="s">
        <v>32</v>
      </c>
      <c r="K57" s="62" t="s">
        <v>301</v>
      </c>
    </row>
    <row r="58" spans="1:11" ht="51" x14ac:dyDescent="0.25">
      <c r="A58" s="62">
        <v>56</v>
      </c>
      <c r="B58" s="62" t="s">
        <v>302</v>
      </c>
      <c r="C58" s="62" t="s">
        <v>213</v>
      </c>
      <c r="D58" s="62">
        <v>150</v>
      </c>
      <c r="E58" s="62" t="s">
        <v>13</v>
      </c>
      <c r="F58" s="65">
        <v>1681</v>
      </c>
      <c r="G58" s="65">
        <f t="shared" si="0"/>
        <v>252150</v>
      </c>
      <c r="H58" s="62" t="s">
        <v>31</v>
      </c>
      <c r="I58" s="62" t="s">
        <v>524</v>
      </c>
      <c r="J58" s="62" t="s">
        <v>32</v>
      </c>
      <c r="K58" s="62" t="s">
        <v>303</v>
      </c>
    </row>
    <row r="59" spans="1:11" ht="38.25" x14ac:dyDescent="0.25">
      <c r="A59" s="62">
        <v>57</v>
      </c>
      <c r="B59" s="62" t="s">
        <v>304</v>
      </c>
      <c r="C59" s="62" t="s">
        <v>213</v>
      </c>
      <c r="D59" s="62">
        <v>10</v>
      </c>
      <c r="E59" s="62" t="s">
        <v>246</v>
      </c>
      <c r="F59" s="65">
        <v>1176</v>
      </c>
      <c r="G59" s="65">
        <f t="shared" si="0"/>
        <v>11760</v>
      </c>
      <c r="H59" s="62" t="s">
        <v>31</v>
      </c>
      <c r="I59" s="62" t="s">
        <v>524</v>
      </c>
      <c r="J59" s="62" t="s">
        <v>32</v>
      </c>
      <c r="K59" s="62" t="s">
        <v>305</v>
      </c>
    </row>
    <row r="60" spans="1:11" ht="38.25" x14ac:dyDescent="0.25">
      <c r="A60" s="62">
        <v>58</v>
      </c>
      <c r="B60" s="62" t="s">
        <v>306</v>
      </c>
      <c r="C60" s="62" t="s">
        <v>213</v>
      </c>
      <c r="D60" s="62">
        <v>15</v>
      </c>
      <c r="E60" s="62" t="s">
        <v>13</v>
      </c>
      <c r="F60" s="65">
        <v>2605</v>
      </c>
      <c r="G60" s="65">
        <f t="shared" si="0"/>
        <v>39075</v>
      </c>
      <c r="H60" s="62" t="s">
        <v>31</v>
      </c>
      <c r="I60" s="62" t="s">
        <v>524</v>
      </c>
      <c r="J60" s="62" t="s">
        <v>32</v>
      </c>
      <c r="K60" s="62" t="s">
        <v>307</v>
      </c>
    </row>
    <row r="61" spans="1:11" ht="51" x14ac:dyDescent="0.25">
      <c r="A61" s="62">
        <v>59</v>
      </c>
      <c r="B61" s="62" t="s">
        <v>308</v>
      </c>
      <c r="C61" s="62" t="s">
        <v>213</v>
      </c>
      <c r="D61" s="62">
        <v>30</v>
      </c>
      <c r="E61" s="62" t="s">
        <v>13</v>
      </c>
      <c r="F61" s="65">
        <f>+G61/D61</f>
        <v>11128.166666666666</v>
      </c>
      <c r="G61" s="65">
        <v>333845</v>
      </c>
      <c r="H61" s="62" t="s">
        <v>31</v>
      </c>
      <c r="I61" s="62" t="s">
        <v>524</v>
      </c>
      <c r="J61" s="62" t="s">
        <v>32</v>
      </c>
      <c r="K61" s="62" t="s">
        <v>309</v>
      </c>
    </row>
    <row r="62" spans="1:11" ht="51" x14ac:dyDescent="0.25">
      <c r="A62" s="62">
        <v>60</v>
      </c>
      <c r="B62" s="62" t="s">
        <v>310</v>
      </c>
      <c r="C62" s="62" t="s">
        <v>213</v>
      </c>
      <c r="D62" s="62">
        <v>7</v>
      </c>
      <c r="E62" s="62" t="s">
        <v>311</v>
      </c>
      <c r="F62" s="65">
        <v>45000</v>
      </c>
      <c r="G62" s="65">
        <f t="shared" si="0"/>
        <v>315000</v>
      </c>
      <c r="H62" s="62" t="s">
        <v>31</v>
      </c>
      <c r="I62" s="62" t="s">
        <v>524</v>
      </c>
      <c r="J62" s="62" t="s">
        <v>32</v>
      </c>
      <c r="K62" s="62" t="s">
        <v>312</v>
      </c>
    </row>
    <row r="63" spans="1:11" ht="38.25" x14ac:dyDescent="0.25">
      <c r="A63" s="62">
        <v>61</v>
      </c>
      <c r="B63" s="62" t="s">
        <v>313</v>
      </c>
      <c r="C63" s="62" t="s">
        <v>213</v>
      </c>
      <c r="D63" s="62">
        <v>50</v>
      </c>
      <c r="E63" s="62" t="s">
        <v>13</v>
      </c>
      <c r="F63" s="65">
        <v>3277</v>
      </c>
      <c r="G63" s="65">
        <f t="shared" si="0"/>
        <v>163850</v>
      </c>
      <c r="H63" s="62" t="s">
        <v>31</v>
      </c>
      <c r="I63" s="62" t="s">
        <v>524</v>
      </c>
      <c r="J63" s="62" t="s">
        <v>32</v>
      </c>
      <c r="K63" s="62" t="s">
        <v>314</v>
      </c>
    </row>
    <row r="64" spans="1:11" ht="38.25" x14ac:dyDescent="0.25">
      <c r="A64" s="62">
        <v>62</v>
      </c>
      <c r="B64" s="62" t="s">
        <v>315</v>
      </c>
      <c r="C64" s="62" t="s">
        <v>213</v>
      </c>
      <c r="D64" s="62">
        <v>200</v>
      </c>
      <c r="E64" s="62" t="s">
        <v>13</v>
      </c>
      <c r="F64" s="65">
        <v>168</v>
      </c>
      <c r="G64" s="65">
        <f t="shared" si="0"/>
        <v>33600</v>
      </c>
      <c r="H64" s="62" t="s">
        <v>31</v>
      </c>
      <c r="I64" s="62" t="s">
        <v>524</v>
      </c>
      <c r="J64" s="62" t="s">
        <v>32</v>
      </c>
      <c r="K64" s="62" t="s">
        <v>316</v>
      </c>
    </row>
    <row r="65" spans="1:11" ht="38.25" x14ac:dyDescent="0.25">
      <c r="A65" s="62">
        <v>63</v>
      </c>
      <c r="B65" s="62" t="s">
        <v>317</v>
      </c>
      <c r="C65" s="62" t="s">
        <v>213</v>
      </c>
      <c r="D65" s="62">
        <v>10</v>
      </c>
      <c r="E65" s="62" t="s">
        <v>13</v>
      </c>
      <c r="F65" s="65">
        <v>1681</v>
      </c>
      <c r="G65" s="65">
        <f t="shared" si="0"/>
        <v>16810</v>
      </c>
      <c r="H65" s="62" t="s">
        <v>31</v>
      </c>
      <c r="I65" s="62" t="s">
        <v>524</v>
      </c>
      <c r="J65" s="62" t="s">
        <v>32</v>
      </c>
      <c r="K65" s="62" t="s">
        <v>318</v>
      </c>
    </row>
    <row r="66" spans="1:11" ht="38.25" x14ac:dyDescent="0.25">
      <c r="A66" s="62">
        <v>64</v>
      </c>
      <c r="B66" s="62" t="s">
        <v>319</v>
      </c>
      <c r="C66" s="62" t="s">
        <v>213</v>
      </c>
      <c r="D66" s="62">
        <v>100</v>
      </c>
      <c r="E66" s="62" t="s">
        <v>13</v>
      </c>
      <c r="F66" s="65">
        <v>320</v>
      </c>
      <c r="G66" s="65">
        <f t="shared" si="0"/>
        <v>32000</v>
      </c>
      <c r="H66" s="62" t="s">
        <v>31</v>
      </c>
      <c r="I66" s="62" t="s">
        <v>524</v>
      </c>
      <c r="J66" s="62" t="s">
        <v>32</v>
      </c>
      <c r="K66" s="62"/>
    </row>
    <row r="67" spans="1:11" ht="51" x14ac:dyDescent="0.25">
      <c r="A67" s="62">
        <v>65</v>
      </c>
      <c r="B67" s="62" t="s">
        <v>320</v>
      </c>
      <c r="C67" s="62" t="s">
        <v>213</v>
      </c>
      <c r="D67" s="62">
        <v>10</v>
      </c>
      <c r="E67" s="62" t="s">
        <v>13</v>
      </c>
      <c r="F67" s="65">
        <v>18000</v>
      </c>
      <c r="G67" s="65">
        <f t="shared" si="0"/>
        <v>180000</v>
      </c>
      <c r="H67" s="62" t="s">
        <v>31</v>
      </c>
      <c r="I67" s="62" t="s">
        <v>524</v>
      </c>
      <c r="J67" s="62" t="s">
        <v>32</v>
      </c>
      <c r="K67" s="62" t="s">
        <v>321</v>
      </c>
    </row>
    <row r="68" spans="1:11" ht="38.25" x14ac:dyDescent="0.25">
      <c r="A68" s="62">
        <v>66</v>
      </c>
      <c r="B68" s="62" t="s">
        <v>322</v>
      </c>
      <c r="C68" s="62" t="s">
        <v>213</v>
      </c>
      <c r="D68" s="62">
        <v>5</v>
      </c>
      <c r="E68" s="62" t="s">
        <v>13</v>
      </c>
      <c r="F68" s="65">
        <v>45000</v>
      </c>
      <c r="G68" s="65">
        <f t="shared" ref="G68:G71" si="1">D68*F68</f>
        <v>225000</v>
      </c>
      <c r="H68" s="62" t="s">
        <v>31</v>
      </c>
      <c r="I68" s="62" t="s">
        <v>524</v>
      </c>
      <c r="J68" s="62" t="s">
        <v>32</v>
      </c>
      <c r="K68" s="62" t="s">
        <v>323</v>
      </c>
    </row>
    <row r="69" spans="1:11" ht="38.25" x14ac:dyDescent="0.25">
      <c r="A69" s="62">
        <v>67</v>
      </c>
      <c r="B69" s="62" t="s">
        <v>324</v>
      </c>
      <c r="C69" s="62" t="s">
        <v>213</v>
      </c>
      <c r="D69" s="62">
        <v>20</v>
      </c>
      <c r="E69" s="62" t="s">
        <v>13</v>
      </c>
      <c r="F69" s="65">
        <v>11500</v>
      </c>
      <c r="G69" s="65">
        <f t="shared" si="1"/>
        <v>230000</v>
      </c>
      <c r="H69" s="62" t="s">
        <v>31</v>
      </c>
      <c r="I69" s="62" t="s">
        <v>524</v>
      </c>
      <c r="J69" s="62" t="s">
        <v>32</v>
      </c>
      <c r="K69" s="62" t="s">
        <v>325</v>
      </c>
    </row>
    <row r="70" spans="1:11" ht="38.25" x14ac:dyDescent="0.25">
      <c r="A70" s="62">
        <v>68</v>
      </c>
      <c r="B70" s="62" t="s">
        <v>326</v>
      </c>
      <c r="C70" s="62" t="s">
        <v>213</v>
      </c>
      <c r="D70" s="62">
        <v>500</v>
      </c>
      <c r="E70" s="62" t="s">
        <v>13</v>
      </c>
      <c r="F70" s="65">
        <v>405</v>
      </c>
      <c r="G70" s="65">
        <f t="shared" si="1"/>
        <v>202500</v>
      </c>
      <c r="H70" s="62" t="s">
        <v>31</v>
      </c>
      <c r="I70" s="62" t="s">
        <v>524</v>
      </c>
      <c r="J70" s="62" t="s">
        <v>32</v>
      </c>
      <c r="K70" s="62" t="s">
        <v>327</v>
      </c>
    </row>
    <row r="71" spans="1:11" ht="38.25" x14ac:dyDescent="0.25">
      <c r="A71" s="62">
        <v>69</v>
      </c>
      <c r="B71" s="62" t="s">
        <v>328</v>
      </c>
      <c r="C71" s="62" t="s">
        <v>213</v>
      </c>
      <c r="D71" s="62">
        <v>20</v>
      </c>
      <c r="E71" s="62" t="s">
        <v>13</v>
      </c>
      <c r="F71" s="65">
        <v>3000</v>
      </c>
      <c r="G71" s="65">
        <f t="shared" si="1"/>
        <v>60000</v>
      </c>
      <c r="H71" s="62" t="s">
        <v>31</v>
      </c>
      <c r="I71" s="62" t="s">
        <v>524</v>
      </c>
      <c r="J71" s="62" t="s">
        <v>32</v>
      </c>
      <c r="K71" s="62" t="s">
        <v>329</v>
      </c>
    </row>
    <row r="72" spans="1:11" x14ac:dyDescent="0.25">
      <c r="A72" s="44"/>
      <c r="B72" s="53"/>
      <c r="C72" s="49"/>
      <c r="D72" s="50"/>
      <c r="E72" s="50"/>
      <c r="F72" s="52"/>
      <c r="G72" s="95">
        <f>SUM(G4:G71)</f>
        <v>50000000</v>
      </c>
      <c r="H72" s="51"/>
      <c r="I72" s="49"/>
      <c r="J72" s="51"/>
      <c r="K72" s="51"/>
    </row>
    <row r="75" spans="1:11" x14ac:dyDescent="0.25">
      <c r="G75" s="14"/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IMPRESOS Y BIENESTAR SOCIAL</vt:lpstr>
      <vt:lpstr>EQU. COMPUTACION</vt:lpstr>
      <vt:lpstr>MUEBLES Y ENSERES</vt:lpstr>
      <vt:lpstr>EQU. COMUNICACION</vt:lpstr>
      <vt:lpstr>EQ. OFICINA</vt:lpstr>
      <vt:lpstr>SISTEMAS DE SEGURIDAD</vt:lpstr>
      <vt:lpstr>MATERIALES ELECTRICO</vt:lpstr>
      <vt:lpstr>COMBUSTIBLES</vt:lpstr>
      <vt:lpstr>PAPELERIA GENERAL</vt:lpstr>
      <vt:lpstr>TINTAS TONER Y RECARGAS</vt:lpstr>
      <vt:lpstr>ELEMENTOS DE ASEO</vt:lpstr>
      <vt:lpstr>DOTACION ADMINISTRATIVA</vt:lpstr>
      <vt:lpstr>HERRAMIENTAS Y ACCESORIOS</vt:lpstr>
      <vt:lpstr>MANTENIMIENTO EN GENERAL</vt:lpstr>
      <vt:lpstr>REPUESTOS VARIOS</vt:lpstr>
      <vt:lpstr>ADQUISICION DE SERVICIOS</vt:lpstr>
      <vt:lpstr>VEHICULOS</vt:lpstr>
      <vt:lpstr>OTROS MANTENIMIENTOS</vt:lpstr>
      <vt:lpstr>CELADURIA Y ASEO</vt:lpstr>
      <vt:lpstr>SERVICIOS, VIATICOS E IMPRESOS</vt:lpstr>
      <vt:lpstr>BIENESTAR UNIVERSITARIO</vt:lpstr>
      <vt:lpstr>INVERSION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dcterms:created xsi:type="dcterms:W3CDTF">2018-03-02T20:15:53Z</dcterms:created>
  <dcterms:modified xsi:type="dcterms:W3CDTF">2019-01-21T16:50:03Z</dcterms:modified>
</cp:coreProperties>
</file>